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<sst xmlns="http://schemas.openxmlformats.org/spreadsheetml/2006/main" count="6293" uniqueCount="534">
  <si>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</si>
  <si>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</si>
  <si>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</si>
  <si>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</si>
  <si>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ноября 2020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</si>
  <si>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</si>
  <si>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</si>
  <si>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</si>
  <si>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</si>
  <si>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</si>
  <si>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</si>
  <si>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</si>
  <si>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</si>
  <si>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</si>
  <si>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</si>
  <si>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</si>
  <si>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</si>
  <si>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</si>
  <si>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</si>
  <si>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</si>
  <si>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</si>
  <si>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</si>
  <si>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</si>
  <si>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</si>
  <si>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</si>
  <si>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</si>
  <si>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</si>
  <si>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</si>
  <si>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</si>
  <si>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</si>
  <si>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</si>
  <si>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</si>
  <si>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</si>
  <si>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</si>
  <si>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</si>
  <si>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</si>
  <si>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</si>
  <si>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</si>
  <si>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</si>
  <si>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</si>
  <si>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</si>
  <si>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</si>
  <si>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</si>
  <si>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</si>
  <si>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</si>
  <si>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</si>
  <si>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</si>
  <si>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</si>
  <si>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</si>
  <si>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</si>
  <si>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</si>
  <si>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</si>
  <si>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</si>
  <si>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</si>
  <si>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</si>
  <si>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</si>
  <si>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</si>
  <si>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</si>
  <si>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</si>
  <si>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</si>
  <si>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</si>
  <si>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</si>
  <si>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</si>
  <si>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</si>
  <si>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</si>
  <si>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</si>
  <si>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</si>
  <si>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</si>
  <si>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</si>
  <si>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</si>
  <si>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</si>
  <si>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</si>
  <si>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</si>
  <si>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</si>
  <si>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</si>
  <si>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</si>
  <si>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</si>
  <si>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</si>
  <si>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</si>
  <si>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</si>
  <si>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</si>
  <si>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</si>
  <si>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</si>
  <si>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</si>
  <si>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</si>
  <si>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</si>
  <si>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</si>
  <si>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</si>
  <si>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</si>
  <si>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</si>
  <si>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</si>
  <si>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</si>
  <si>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</si>
  <si>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</si>
  <si>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</si>
  <si>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</si>
  <si>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</si>
  <si>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</si>
  <si>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</si>
  <si>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</si>
  <si>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</si>
  <si>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</si>
  <si>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</si>
  <si>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</si>
  <si>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</si>
  <si>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</si>
  <si>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</si>
  <si>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</si>
  <si>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</si>
  <si>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</si>
  <si>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</si>
  <si>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</si>
  <si>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</si>
  <si>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</si>
  <si>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</si>
  <si>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</si>
  <si>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</si>
  <si>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</si>
  <si>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</si>
  <si>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</si>
  <si>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</si>
  <si>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</si>
  <si>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</si>
  <si>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</si>
  <si>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</si>
  <si>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</si>
  <si>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</si>
  <si>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</si>
  <si>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</si>
  <si>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</si>
  <si>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</si>
  <si>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</si>
  <si>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</si>
  <si>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</si>
  <si>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</si>
  <si>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</si>
  <si>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</si>
  <si>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</si>
  <si>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</si>
  <si>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</si>
  <si>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</si>
  <si>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</si>
  <si>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</si>
  <si>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</si>
  <si>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</si>
  <si>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</si>
  <si>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</si>
  <si>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</si>
  <si>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</si>
  <si>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</si>
  <si>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</si>
  <si>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</si>
  <si>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</si>
  <si>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</si>
  <si>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</si>
  <si>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</si>
  <si>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</si>
  <si>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</si>
  <si>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</si>
  <si>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</si>
  <si>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</si>
  <si>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</si>
  <si>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</si>
  <si>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</si>
  <si>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</si>
  <si>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</si>
  <si>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</si>
  <si>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</si>
  <si>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</si>
  <si>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</si>
  <si>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</si>
  <si>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</si>
  <si>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</si>
  <si>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</si>
  <si>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</si>
  <si>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</si>
  <si>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</si>
  <si>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</si>
  <si>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</si>
  <si>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</si>
  <si>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</si>
  <si>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Субсидии бюджетам на обеспечение комплексного развития сельских территорий</t>
  </si>
  <si>
    <t>000 20225576 00 0000 150</t>
  </si>
  <si>
    <t>Субсидии бюджетам сельских поселений на обеспечение комплексного развития сельских территорий</t>
  </si>
  <si>
    <t>000 20225576 10 0000 150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</si>
  <si>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</si>
  <si>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</si>
  <si>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</si>
  <si>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</si>
  <si>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</si>
  <si>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</si>
  <si>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</si>
  <si>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</si>
  <si>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</si>
  <si>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</si>
  <si>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</si>
  <si>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</si>
  <si>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</si>
  <si>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</si>
  <si>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</si>
  <si>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</si>
  <si>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</si>
  <si>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</si>
  <si>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</si>
  <si>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</si>
  <si>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</si>
  <si>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</si>
  <si>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</si>
  <si>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</si>
  <si>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</si>
  <si>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</si>
  <si>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</si>
  <si>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</si>
  <si>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</si>
  <si>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</si>
  <si>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</si>
  <si>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</si>
  <si>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</si>
  <si>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</si>
  <si>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</si>
  <si>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</si>
  <si>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</si>
  <si>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</si>
  <si>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</si>
  <si>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</si>
  <si>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</si>
  <si>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</si>
  <si>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</si>
  <si>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</si>
  <si>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</si>
  <si>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</si>
  <si>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</si>
  <si>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</si>
  <si>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</si>
  <si>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</si>
  <si>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</si>
  <si>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</si>
  <si>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</si>
  <si>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</si>
  <si>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</si>
  <si>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</si>
  <si>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</si>
  <si>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</si>
  <si>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</si>
  <si>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</si>
  <si>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</si>
  <si>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</si>
  <si>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</si>
  <si>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</si>
  <si>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</si>
  <si>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</si>
  <si>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</si>
  <si>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</si>
  <si>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</si>
  <si>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</si>
  <si>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</si>
  <si>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</si>
  <si>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</si>
  <si>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</si>
  <si>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</si>
  <si>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</si>
  <si>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</si>
  <si>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</si>
  <si>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</si>
  <si>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</si>
  <si>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</si>
  <si>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</si>
  <si>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</si>
  <si>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</si>
  <si>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</si>
  <si>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</si>
  <si>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</si>
  <si>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</si>
  <si>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</si>
  <si>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</si>
  <si>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</si>
  <si>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</si>
  <si>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</si>
  <si>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</si>
  <si>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</si>
  <si>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</si>
  <si>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</si>
  <si>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</si>
  <si>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</si>
  <si>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</si>
  <si>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</si>
  <si>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</si>
  <si>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</si>
  <si>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</si>
  <si>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</si>
  <si>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</si>
  <si>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</si>
  <si>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</si>
  <si>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</si>
  <si>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</si>
  <si>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</si>
  <si>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</si>
  <si>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</si>
  <si>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</si>
  <si>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</si>
  <si>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</si>
  <si>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</si>
  <si>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</si>
  <si>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</si>
  <si>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</si>
  <si>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</si>
  <si>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</si>
  <si>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</si>
  <si>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</si>
  <si>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</si>
  <si>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</si>
  <si>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</si>
  <si>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</si>
  <si>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</si>
  <si>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</si>
  <si>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</si>
  <si>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</si>
  <si>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</si>
  <si>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</si>
  <si>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</si>
  <si>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</si>
  <si>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</si>
  <si>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</si>
  <si>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</si>
  <si>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</si>
  <si>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</si>
  <si>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</si>
  <si>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</si>
  <si>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</si>
  <si>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</si>
  <si>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</si>
  <si>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</si>
  <si>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</si>
  <si>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</si>
  <si>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</si>
  <si>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</si>
  <si>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</si>
  <si>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</si>
  <si>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</si>
  <si>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</si>
  <si>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</si>
  <si>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</si>
  <si>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</si>
  <si>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</si>
  <si>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</si>
  <si>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</si>
  <si>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</si>
  <si>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</si>
  <si>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</si>
  <si>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</si>
  <si>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</si>
  <si>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</si>
  <si>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</si>
  <si>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</si>
  <si>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</si>
  <si>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</si>
  <si>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</si>
  <si>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</si>
  <si>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</si>
  <si>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</si>
  <si>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</si>
  <si>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</si>
  <si>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</si>
  <si>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</si>
  <si>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</si>
  <si>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</si>
  <si>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</si>
  <si>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</si>
  <si>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</si>
  <si>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</si>
  <si>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</si>
  <si>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</si>
  <si>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</si>
  <si>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</si>
  <si>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</si>
  <si>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</si>
  <si>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</si>
  <si>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</si>
  <si>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</si>
  <si>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</si>
  <si>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</si>
  <si>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</si>
  <si>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</si>
  <si>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</si>
  <si>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</si>
  <si>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</si>
  <si>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</si>
  <si>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</si>
  <si>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</si>
  <si>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</si>
  <si>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</si>
  <si>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</si>
  <si>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</si>
  <si>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</si>
  <si>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</si>
  <si>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</si>
  <si>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</si>
  <si>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</si>
  <si>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</si>
  <si>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</si>
  <si>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</si>
  <si>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</si>
  <si>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</si>
  <si>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</si>
  <si>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</si>
  <si>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</si>
  <si>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</si>
  <si>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</si>
  <si>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</si>
  <si>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</si>
  <si>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</si>
  <si>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</si>
  <si>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</si>
  <si>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</si>
  <si>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</si>
  <si>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</si>
  <si>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</si>
  <si>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</si>
  <si>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</si>
  <si>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</si>
  <si>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</si>
  <si>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</si>
  <si>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</si>
  <si>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</si>
  <si>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</si>
  <si>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</si>
  <si>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</si>
  <si>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</si>
  <si>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</si>
  <si>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</si>
  <si>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</si>
  <si>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</si>
  <si>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</si>
  <si>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</si>
  <si>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</si>
  <si>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</si>
  <si>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</si>
  <si>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</si>
  <si>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</si>
  <si>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</si>
  <si>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</si>
  <si>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</si>
  <si>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</si>
  <si>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</si>
  <si>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</si>
  <si>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</si>
  <si>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</si>
  <si>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</si>
  <si>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</si>
  <si>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</si>
  <si>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</si>
  <si>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</si>
  <si>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</si>
  <si>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</si>
  <si>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</si>
  <si>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</si>
  <si>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</si>
  <si>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</si>
  <si>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</si>
  <si>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</si>
  <si>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</si>
  <si>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</si>
  <si>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</si>
  <si>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</si>
  <si>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</si>
  <si>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</si>
  <si>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</si>
  <si>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</si>
  <si>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</si>
  <si>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</si>
  <si>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</si>
  <si>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</si>
  <si>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</si>
  <si>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</si>
  <si>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</si>
  <si>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</si>
  <si>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</si>
  <si>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</si>
  <si>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</si>
  <si>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</si>
  <si>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</si>
  <si>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</si>
  <si>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</si>
  <si>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</si>
  <si>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</si>
  <si>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</si>
  <si>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</si>
  <si>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</si>
  <si>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</si>
  <si>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</si>
  <si>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</si>
  <si>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</si>
  <si>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</si>
  <si>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</si>
  <si>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</si>
  <si>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</si>
  <si>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</si>
  <si>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</si>
  <si>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</si>
  <si>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</si>
  <si>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</si>
  <si>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</si>
  <si>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</si>
  <si>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</si>
  <si>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</si>
  <si>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</si>
  <si>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</si>
  <si>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</si>
  <si>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</si>
  <si>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</si>
  <si>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</si>
  <si>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</si>
  <si>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</si>
  <si>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</si>
  <si>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</si>
  <si>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</si>
  <si>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</si>
  <si>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</si>
  <si>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</si>
  <si>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</si>
  <si>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</si>
  <si>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</si>
  <si>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</si>
  <si>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</si>
  <si>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</si>
  <si>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</si>
  <si>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</si>
  <si>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</si>
  <si>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</si>
  <si>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</si>
  <si>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</si>
  <si>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</si>
  <si>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21 декабря 2020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</si>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</sst>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49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44136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13191074</f>
        <v>13191074</v>
      </c>
      <c r="V13" s="18"/>
      <c r="W13" s="18"/>
      <c r="X13" s="19" t="s">
        <v>71</v>
      </c>
      <c r="Y13" s="19"/>
      <c r="Z13" s="19"/>
      <c r="AA13" s="19"/>
      <c r="AB13" s="18">
        <f>13191074</f>
        <v>13191074</v>
      </c>
      <c r="AC13" s="18"/>
      <c r="AD13" s="18"/>
      <c r="AE13" s="20">
        <f>21807019.92</f>
        <v>21807019.92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34998093.92</f>
        <v>34998093.92</v>
      </c>
      <c r="AU13" s="18"/>
      <c r="AV13" s="18"/>
      <c r="AW13" s="19" t="s">
        <v>71</v>
      </c>
      <c r="AX13" s="19"/>
      <c r="AY13" s="18">
        <f>11085536.18</f>
        <v>11085536.18</v>
      </c>
      <c r="AZ13" s="18"/>
      <c r="BA13" s="19" t="s">
        <v>71</v>
      </c>
      <c r="BB13" s="19"/>
      <c r="BC13" s="19"/>
      <c r="BD13" s="18">
        <f>11085536.18</f>
        <v>11085536.18</v>
      </c>
      <c r="BE13" s="18"/>
      <c r="BF13" s="20">
        <f>18905469.87</f>
        <v>18905469.87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29991006.05</f>
        <v>29991006.05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13191074</f>
        <v>13191074</v>
      </c>
      <c r="V14" s="24"/>
      <c r="W14" s="24"/>
      <c r="X14" s="25" t="s">
        <v>71</v>
      </c>
      <c r="Y14" s="25"/>
      <c r="Z14" s="25"/>
      <c r="AA14" s="25"/>
      <c r="AB14" s="24">
        <f>13191074</f>
        <v>13191074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13191074</f>
        <v>13191074</v>
      </c>
      <c r="AU14" s="24"/>
      <c r="AV14" s="24"/>
      <c r="AW14" s="25" t="s">
        <v>71</v>
      </c>
      <c r="AX14" s="25"/>
      <c r="AY14" s="24">
        <f>11085536.18</f>
        <v>11085536.18</v>
      </c>
      <c r="AZ14" s="24"/>
      <c r="BA14" s="25" t="s">
        <v>71</v>
      </c>
      <c r="BB14" s="25"/>
      <c r="BC14" s="25"/>
      <c r="BD14" s="24">
        <f>11085536.18</f>
        <v>11085536.18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11085536.18</f>
        <v>11085536.18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948000</f>
        <v>948000</v>
      </c>
      <c r="V15" s="24"/>
      <c r="W15" s="24"/>
      <c r="X15" s="25" t="s">
        <v>71</v>
      </c>
      <c r="Y15" s="25"/>
      <c r="Z15" s="25"/>
      <c r="AA15" s="25"/>
      <c r="AB15" s="24">
        <f>948000</f>
        <v>948000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948000</f>
        <v>948000</v>
      </c>
      <c r="AU15" s="24"/>
      <c r="AV15" s="24"/>
      <c r="AW15" s="25" t="s">
        <v>71</v>
      </c>
      <c r="AX15" s="25"/>
      <c r="AY15" s="24">
        <f>780397.82</f>
        <v>780397.82</v>
      </c>
      <c r="AZ15" s="24"/>
      <c r="BA15" s="25" t="s">
        <v>71</v>
      </c>
      <c r="BB15" s="25"/>
      <c r="BC15" s="25"/>
      <c r="BD15" s="24">
        <f>780397.82</f>
        <v>780397.82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780397.82</f>
        <v>780397.82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948000</f>
        <v>948000</v>
      </c>
      <c r="V16" s="24"/>
      <c r="W16" s="24"/>
      <c r="X16" s="25" t="s">
        <v>71</v>
      </c>
      <c r="Y16" s="25"/>
      <c r="Z16" s="25"/>
      <c r="AA16" s="25"/>
      <c r="AB16" s="24">
        <f>948000</f>
        <v>948000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948000</f>
        <v>948000</v>
      </c>
      <c r="AU16" s="24"/>
      <c r="AV16" s="24"/>
      <c r="AW16" s="25" t="s">
        <v>71</v>
      </c>
      <c r="AX16" s="25"/>
      <c r="AY16" s="24">
        <f>780397.82</f>
        <v>780397.82</v>
      </c>
      <c r="AZ16" s="24"/>
      <c r="BA16" s="25" t="s">
        <v>71</v>
      </c>
      <c r="BB16" s="25"/>
      <c r="BC16" s="25"/>
      <c r="BD16" s="24">
        <f>780397.82</f>
        <v>780397.82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780397.82</f>
        <v>780397.82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938000</f>
        <v>938000</v>
      </c>
      <c r="V17" s="24"/>
      <c r="W17" s="24"/>
      <c r="X17" s="25" t="s">
        <v>71</v>
      </c>
      <c r="Y17" s="25"/>
      <c r="Z17" s="25"/>
      <c r="AA17" s="25"/>
      <c r="AB17" s="24">
        <f>938000</f>
        <v>938000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938000</f>
        <v>938000</v>
      </c>
      <c r="AU17" s="24"/>
      <c r="AV17" s="24"/>
      <c r="AW17" s="25" t="s">
        <v>71</v>
      </c>
      <c r="AX17" s="25"/>
      <c r="AY17" s="24">
        <f>774187.19</f>
        <v>774187.19</v>
      </c>
      <c r="AZ17" s="24"/>
      <c r="BA17" s="25" t="s">
        <v>71</v>
      </c>
      <c r="BB17" s="25"/>
      <c r="BC17" s="25"/>
      <c r="BD17" s="24">
        <f>774187.19</f>
        <v>774187.19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774187.19</f>
        <v>774187.19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1715.82</f>
        <v>1715.82</v>
      </c>
      <c r="AZ18" s="24"/>
      <c r="BA18" s="25" t="s">
        <v>71</v>
      </c>
      <c r="BB18" s="25"/>
      <c r="BC18" s="25"/>
      <c r="BD18" s="24">
        <f>1715.82</f>
        <v>1715.82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1715.82</f>
        <v>1715.82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71</v>
      </c>
      <c r="Y19" s="25"/>
      <c r="Z19" s="25"/>
      <c r="AA19" s="25"/>
      <c r="AB19" s="24">
        <f>8000</f>
        <v>8000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8000</f>
        <v>8000</v>
      </c>
      <c r="AU19" s="24"/>
      <c r="AV19" s="24"/>
      <c r="AW19" s="25" t="s">
        <v>71</v>
      </c>
      <c r="AX19" s="25"/>
      <c r="AY19" s="24">
        <f>4494.81</f>
        <v>4494.81</v>
      </c>
      <c r="AZ19" s="24"/>
      <c r="BA19" s="25" t="s">
        <v>71</v>
      </c>
      <c r="BB19" s="25"/>
      <c r="BC19" s="25"/>
      <c r="BD19" s="24">
        <f>4494.81</f>
        <v>4494.81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4494.81</f>
        <v>4494.81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3978074</f>
        <v>3978074</v>
      </c>
      <c r="V20" s="24"/>
      <c r="W20" s="24"/>
      <c r="X20" s="25" t="s">
        <v>71</v>
      </c>
      <c r="Y20" s="25"/>
      <c r="Z20" s="25"/>
      <c r="AA20" s="25"/>
      <c r="AB20" s="24">
        <f>3978074</f>
        <v>3978074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3978074</f>
        <v>3978074</v>
      </c>
      <c r="AU20" s="24"/>
      <c r="AV20" s="24"/>
      <c r="AW20" s="25" t="s">
        <v>71</v>
      </c>
      <c r="AX20" s="25"/>
      <c r="AY20" s="24">
        <f>2959372.28</f>
        <v>2959372.28</v>
      </c>
      <c r="AZ20" s="24"/>
      <c r="BA20" s="25" t="s">
        <v>71</v>
      </c>
      <c r="BB20" s="25"/>
      <c r="BC20" s="25"/>
      <c r="BD20" s="24">
        <f>2959372.28</f>
        <v>2959372.28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2959372.28</f>
        <v>2959372.28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3978074</f>
        <v>3978074</v>
      </c>
      <c r="V21" s="24"/>
      <c r="W21" s="24"/>
      <c r="X21" s="25" t="s">
        <v>71</v>
      </c>
      <c r="Y21" s="25"/>
      <c r="Z21" s="25"/>
      <c r="AA21" s="25"/>
      <c r="AB21" s="24">
        <f>3978074</f>
        <v>3978074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3978074</f>
        <v>3978074</v>
      </c>
      <c r="AU21" s="24"/>
      <c r="AV21" s="24"/>
      <c r="AW21" s="25" t="s">
        <v>71</v>
      </c>
      <c r="AX21" s="25"/>
      <c r="AY21" s="24">
        <f>2959372.28</f>
        <v>2959372.28</v>
      </c>
      <c r="AZ21" s="24"/>
      <c r="BA21" s="25" t="s">
        <v>71</v>
      </c>
      <c r="BB21" s="25"/>
      <c r="BC21" s="25"/>
      <c r="BD21" s="24">
        <f>2959372.28</f>
        <v>2959372.28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2959372.28</f>
        <v>2959372.28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1822893</f>
        <v>1822893</v>
      </c>
      <c r="V22" s="24"/>
      <c r="W22" s="24"/>
      <c r="X22" s="25" t="s">
        <v>71</v>
      </c>
      <c r="Y22" s="25"/>
      <c r="Z22" s="25"/>
      <c r="AA22" s="25"/>
      <c r="AB22" s="24">
        <f>1822893</f>
        <v>1822893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1822893</f>
        <v>1822893</v>
      </c>
      <c r="AU22" s="24"/>
      <c r="AV22" s="24"/>
      <c r="AW22" s="25" t="s">
        <v>71</v>
      </c>
      <c r="AX22" s="25"/>
      <c r="AY22" s="24">
        <f>1361802.28</f>
        <v>1361802.28</v>
      </c>
      <c r="AZ22" s="24"/>
      <c r="BA22" s="25" t="s">
        <v>71</v>
      </c>
      <c r="BB22" s="25"/>
      <c r="BC22" s="25"/>
      <c r="BD22" s="24">
        <f>1361802.28</f>
        <v>1361802.28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1361802.28</f>
        <v>1361802.28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1822893</f>
        <v>1822893</v>
      </c>
      <c r="V23" s="24"/>
      <c r="W23" s="24"/>
      <c r="X23" s="25" t="s">
        <v>71</v>
      </c>
      <c r="Y23" s="25"/>
      <c r="Z23" s="25"/>
      <c r="AA23" s="25"/>
      <c r="AB23" s="24">
        <f>1822893</f>
        <v>1822893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1822893</f>
        <v>1822893</v>
      </c>
      <c r="AU23" s="24"/>
      <c r="AV23" s="24"/>
      <c r="AW23" s="25" t="s">
        <v>71</v>
      </c>
      <c r="AX23" s="25"/>
      <c r="AY23" s="24">
        <f>1361802.28</f>
        <v>1361802.28</v>
      </c>
      <c r="AZ23" s="24"/>
      <c r="BA23" s="25" t="s">
        <v>71</v>
      </c>
      <c r="BB23" s="25"/>
      <c r="BC23" s="25"/>
      <c r="BD23" s="24">
        <f>1361802.28</f>
        <v>1361802.28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1361802.28</f>
        <v>1361802.28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9389</f>
        <v>9389</v>
      </c>
      <c r="V24" s="24"/>
      <c r="W24" s="24"/>
      <c r="X24" s="25" t="s">
        <v>71</v>
      </c>
      <c r="Y24" s="25"/>
      <c r="Z24" s="25"/>
      <c r="AA24" s="25"/>
      <c r="AB24" s="24">
        <f>9389</f>
        <v>9389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9389</f>
        <v>9389</v>
      </c>
      <c r="AU24" s="24"/>
      <c r="AV24" s="24"/>
      <c r="AW24" s="25" t="s">
        <v>71</v>
      </c>
      <c r="AX24" s="25"/>
      <c r="AY24" s="24">
        <f>9575.83</f>
        <v>9575.83</v>
      </c>
      <c r="AZ24" s="24"/>
      <c r="BA24" s="25" t="s">
        <v>71</v>
      </c>
      <c r="BB24" s="25"/>
      <c r="BC24" s="25"/>
      <c r="BD24" s="24">
        <f>9575.83</f>
        <v>9575.83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9575.83</f>
        <v>9575.83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9389</f>
        <v>9389</v>
      </c>
      <c r="V25" s="24"/>
      <c r="W25" s="24"/>
      <c r="X25" s="25" t="s">
        <v>71</v>
      </c>
      <c r="Y25" s="25"/>
      <c r="Z25" s="25"/>
      <c r="AA25" s="25"/>
      <c r="AB25" s="24">
        <f>9389</f>
        <v>9389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9389</f>
        <v>9389</v>
      </c>
      <c r="AU25" s="24"/>
      <c r="AV25" s="24"/>
      <c r="AW25" s="25" t="s">
        <v>71</v>
      </c>
      <c r="AX25" s="25"/>
      <c r="AY25" s="24">
        <f>9575.83</f>
        <v>9575.83</v>
      </c>
      <c r="AZ25" s="24"/>
      <c r="BA25" s="25" t="s">
        <v>71</v>
      </c>
      <c r="BB25" s="25"/>
      <c r="BC25" s="25"/>
      <c r="BD25" s="24">
        <f>9575.83</f>
        <v>9575.83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9575.83</f>
        <v>9575.83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2381040</f>
        <v>2381040</v>
      </c>
      <c r="V26" s="24"/>
      <c r="W26" s="24"/>
      <c r="X26" s="25" t="s">
        <v>71</v>
      </c>
      <c r="Y26" s="25"/>
      <c r="Z26" s="25"/>
      <c r="AA26" s="25"/>
      <c r="AB26" s="24">
        <f>2381040</f>
        <v>2381040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2381040</f>
        <v>2381040</v>
      </c>
      <c r="AU26" s="24"/>
      <c r="AV26" s="24"/>
      <c r="AW26" s="25" t="s">
        <v>71</v>
      </c>
      <c r="AX26" s="25"/>
      <c r="AY26" s="24">
        <f>1832511.63</f>
        <v>1832511.63</v>
      </c>
      <c r="AZ26" s="24"/>
      <c r="BA26" s="25" t="s">
        <v>71</v>
      </c>
      <c r="BB26" s="25"/>
      <c r="BC26" s="25"/>
      <c r="BD26" s="24">
        <f>1832511.63</f>
        <v>1832511.63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1832511.63</f>
        <v>1832511.63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2381040</f>
        <v>2381040</v>
      </c>
      <c r="V27" s="24"/>
      <c r="W27" s="24"/>
      <c r="X27" s="25" t="s">
        <v>71</v>
      </c>
      <c r="Y27" s="25"/>
      <c r="Z27" s="25"/>
      <c r="AA27" s="25"/>
      <c r="AB27" s="24">
        <f>2381040</f>
        <v>2381040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2381040</f>
        <v>2381040</v>
      </c>
      <c r="AU27" s="24"/>
      <c r="AV27" s="24"/>
      <c r="AW27" s="25" t="s">
        <v>71</v>
      </c>
      <c r="AX27" s="25"/>
      <c r="AY27" s="24">
        <f>1832511.63</f>
        <v>1832511.63</v>
      </c>
      <c r="AZ27" s="24"/>
      <c r="BA27" s="25" t="s">
        <v>71</v>
      </c>
      <c r="BB27" s="25"/>
      <c r="BC27" s="25"/>
      <c r="BD27" s="24">
        <f>1832511.63</f>
        <v>1832511.63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1832511.63</f>
        <v>1832511.63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-235248</f>
        <v>-235248</v>
      </c>
      <c r="V28" s="24"/>
      <c r="W28" s="24"/>
      <c r="X28" s="25" t="s">
        <v>71</v>
      </c>
      <c r="Y28" s="25"/>
      <c r="Z28" s="25"/>
      <c r="AA28" s="25"/>
      <c r="AB28" s="24">
        <f>-235248</f>
        <v>-235248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-235248</f>
        <v>-235248</v>
      </c>
      <c r="AU28" s="24"/>
      <c r="AV28" s="24"/>
      <c r="AW28" s="25" t="s">
        <v>71</v>
      </c>
      <c r="AX28" s="25"/>
      <c r="AY28" s="24">
        <f>-244517.46</f>
        <v>-244517.46</v>
      </c>
      <c r="AZ28" s="24"/>
      <c r="BA28" s="25" t="s">
        <v>71</v>
      </c>
      <c r="BB28" s="25"/>
      <c r="BC28" s="25"/>
      <c r="BD28" s="24">
        <f>-244517.46</f>
        <v>-244517.46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-244517.46</f>
        <v>-244517.46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-235248</f>
        <v>-235248</v>
      </c>
      <c r="V29" s="24"/>
      <c r="W29" s="24"/>
      <c r="X29" s="25" t="s">
        <v>71</v>
      </c>
      <c r="Y29" s="25"/>
      <c r="Z29" s="25"/>
      <c r="AA29" s="25"/>
      <c r="AB29" s="24">
        <f>-235248</f>
        <v>-235248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-235248</f>
        <v>-235248</v>
      </c>
      <c r="AU29" s="24"/>
      <c r="AV29" s="24"/>
      <c r="AW29" s="25" t="s">
        <v>71</v>
      </c>
      <c r="AX29" s="25"/>
      <c r="AY29" s="24">
        <f>-244517.46</f>
        <v>-244517.46</v>
      </c>
      <c r="AZ29" s="24"/>
      <c r="BA29" s="25" t="s">
        <v>71</v>
      </c>
      <c r="BB29" s="25"/>
      <c r="BC29" s="25"/>
      <c r="BD29" s="24">
        <f>-244517.46</f>
        <v>-244517.46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-244517.46</f>
        <v>-244517.46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4000</f>
        <v>4000</v>
      </c>
      <c r="V30" s="24"/>
      <c r="W30" s="24"/>
      <c r="X30" s="25" t="s">
        <v>71</v>
      </c>
      <c r="Y30" s="25"/>
      <c r="Z30" s="25"/>
      <c r="AA30" s="25"/>
      <c r="AB30" s="24">
        <f>4000</f>
        <v>4000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4000</f>
        <v>4000</v>
      </c>
      <c r="AU30" s="24"/>
      <c r="AV30" s="24"/>
      <c r="AW30" s="25" t="s">
        <v>71</v>
      </c>
      <c r="AX30" s="25"/>
      <c r="AY30" s="24">
        <f>5404.2</f>
        <v>5404.2</v>
      </c>
      <c r="AZ30" s="24"/>
      <c r="BA30" s="25" t="s">
        <v>71</v>
      </c>
      <c r="BB30" s="25"/>
      <c r="BC30" s="25"/>
      <c r="BD30" s="24">
        <f>5404.2</f>
        <v>5404.2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5404.2</f>
        <v>5404.2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4000</f>
        <v>4000</v>
      </c>
      <c r="V31" s="24"/>
      <c r="W31" s="24"/>
      <c r="X31" s="25" t="s">
        <v>71</v>
      </c>
      <c r="Y31" s="25"/>
      <c r="Z31" s="25"/>
      <c r="AA31" s="25"/>
      <c r="AB31" s="24">
        <f>4000</f>
        <v>4000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4000</f>
        <v>4000</v>
      </c>
      <c r="AU31" s="24"/>
      <c r="AV31" s="24"/>
      <c r="AW31" s="25" t="s">
        <v>71</v>
      </c>
      <c r="AX31" s="25"/>
      <c r="AY31" s="24">
        <f>5404.2</f>
        <v>5404.2</v>
      </c>
      <c r="AZ31" s="24"/>
      <c r="BA31" s="25" t="s">
        <v>71</v>
      </c>
      <c r="BB31" s="25"/>
      <c r="BC31" s="25"/>
      <c r="BD31" s="24">
        <f>5404.2</f>
        <v>5404.2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5404.2</f>
        <v>5404.2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4000</f>
        <v>4000</v>
      </c>
      <c r="V32" s="24"/>
      <c r="W32" s="24"/>
      <c r="X32" s="25" t="s">
        <v>71</v>
      </c>
      <c r="Y32" s="25"/>
      <c r="Z32" s="25"/>
      <c r="AA32" s="25"/>
      <c r="AB32" s="24">
        <f>4000</f>
        <v>4000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4000</f>
        <v>4000</v>
      </c>
      <c r="AU32" s="24"/>
      <c r="AV32" s="24"/>
      <c r="AW32" s="25" t="s">
        <v>71</v>
      </c>
      <c r="AX32" s="25"/>
      <c r="AY32" s="24">
        <f>5404.2</f>
        <v>5404.2</v>
      </c>
      <c r="AZ32" s="24"/>
      <c r="BA32" s="25" t="s">
        <v>71</v>
      </c>
      <c r="BB32" s="25"/>
      <c r="BC32" s="25"/>
      <c r="BD32" s="24">
        <f>5404.2</f>
        <v>5404.2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5404.2</f>
        <v>5404.2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7161000</f>
        <v>7161000</v>
      </c>
      <c r="V33" s="24"/>
      <c r="W33" s="24"/>
      <c r="X33" s="25" t="s">
        <v>71</v>
      </c>
      <c r="Y33" s="25"/>
      <c r="Z33" s="25"/>
      <c r="AA33" s="25"/>
      <c r="AB33" s="24">
        <f>7161000</f>
        <v>7161000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7161000</f>
        <v>7161000</v>
      </c>
      <c r="AU33" s="24"/>
      <c r="AV33" s="24"/>
      <c r="AW33" s="25" t="s">
        <v>71</v>
      </c>
      <c r="AX33" s="25"/>
      <c r="AY33" s="24">
        <f>5486677.96</f>
        <v>5486677.96</v>
      </c>
      <c r="AZ33" s="24"/>
      <c r="BA33" s="25" t="s">
        <v>71</v>
      </c>
      <c r="BB33" s="25"/>
      <c r="BC33" s="25"/>
      <c r="BD33" s="24">
        <f>5486677.96</f>
        <v>5486677.96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5486677.96</f>
        <v>5486677.96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1618000</f>
        <v>1618000</v>
      </c>
      <c r="V34" s="24"/>
      <c r="W34" s="24"/>
      <c r="X34" s="25" t="s">
        <v>71</v>
      </c>
      <c r="Y34" s="25"/>
      <c r="Z34" s="25"/>
      <c r="AA34" s="25"/>
      <c r="AB34" s="24">
        <f>1618000</f>
        <v>1618000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1618000</f>
        <v>1618000</v>
      </c>
      <c r="AU34" s="24"/>
      <c r="AV34" s="24"/>
      <c r="AW34" s="25" t="s">
        <v>71</v>
      </c>
      <c r="AX34" s="25"/>
      <c r="AY34" s="24">
        <f>922988.52</f>
        <v>922988.52</v>
      </c>
      <c r="AZ34" s="24"/>
      <c r="BA34" s="25" t="s">
        <v>71</v>
      </c>
      <c r="BB34" s="25"/>
      <c r="BC34" s="25"/>
      <c r="BD34" s="24">
        <f>922988.52</f>
        <v>922988.52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922988.52</f>
        <v>922988.52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1618000</f>
        <v>1618000</v>
      </c>
      <c r="V35" s="24"/>
      <c r="W35" s="24"/>
      <c r="X35" s="25" t="s">
        <v>71</v>
      </c>
      <c r="Y35" s="25"/>
      <c r="Z35" s="25"/>
      <c r="AA35" s="25"/>
      <c r="AB35" s="24">
        <f>1618000</f>
        <v>1618000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1618000</f>
        <v>1618000</v>
      </c>
      <c r="AU35" s="24"/>
      <c r="AV35" s="24"/>
      <c r="AW35" s="25" t="s">
        <v>71</v>
      </c>
      <c r="AX35" s="25"/>
      <c r="AY35" s="24">
        <f>922988.52</f>
        <v>922988.52</v>
      </c>
      <c r="AZ35" s="24"/>
      <c r="BA35" s="25" t="s">
        <v>71</v>
      </c>
      <c r="BB35" s="25"/>
      <c r="BC35" s="25"/>
      <c r="BD35" s="24">
        <f>922988.52</f>
        <v>922988.52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922988.52</f>
        <v>922988.52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5543000</f>
        <v>5543000</v>
      </c>
      <c r="V36" s="24"/>
      <c r="W36" s="24"/>
      <c r="X36" s="25" t="s">
        <v>71</v>
      </c>
      <c r="Y36" s="25"/>
      <c r="Z36" s="25"/>
      <c r="AA36" s="25"/>
      <c r="AB36" s="24">
        <f>5543000</f>
        <v>5543000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5543000</f>
        <v>5543000</v>
      </c>
      <c r="AU36" s="24"/>
      <c r="AV36" s="24"/>
      <c r="AW36" s="25" t="s">
        <v>71</v>
      </c>
      <c r="AX36" s="25"/>
      <c r="AY36" s="24">
        <f>4563689.44</f>
        <v>4563689.44</v>
      </c>
      <c r="AZ36" s="24"/>
      <c r="BA36" s="25" t="s">
        <v>71</v>
      </c>
      <c r="BB36" s="25"/>
      <c r="BC36" s="25"/>
      <c r="BD36" s="24">
        <f>4563689.44</f>
        <v>4563689.44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4563689.44</f>
        <v>4563689.44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4165000</f>
        <v>4165000</v>
      </c>
      <c r="V37" s="24"/>
      <c r="W37" s="24"/>
      <c r="X37" s="25" t="s">
        <v>71</v>
      </c>
      <c r="Y37" s="25"/>
      <c r="Z37" s="25"/>
      <c r="AA37" s="25"/>
      <c r="AB37" s="24">
        <f>4165000</f>
        <v>4165000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4165000</f>
        <v>4165000</v>
      </c>
      <c r="AU37" s="24"/>
      <c r="AV37" s="24"/>
      <c r="AW37" s="25" t="s">
        <v>71</v>
      </c>
      <c r="AX37" s="25"/>
      <c r="AY37" s="24">
        <f>3299713.64</f>
        <v>3299713.64</v>
      </c>
      <c r="AZ37" s="24"/>
      <c r="BA37" s="25" t="s">
        <v>71</v>
      </c>
      <c r="BB37" s="25"/>
      <c r="BC37" s="25"/>
      <c r="BD37" s="24">
        <f>3299713.64</f>
        <v>3299713.64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3299713.64</f>
        <v>3299713.64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4165000</f>
        <v>4165000</v>
      </c>
      <c r="V38" s="24"/>
      <c r="W38" s="24"/>
      <c r="X38" s="25" t="s">
        <v>71</v>
      </c>
      <c r="Y38" s="25"/>
      <c r="Z38" s="25"/>
      <c r="AA38" s="25"/>
      <c r="AB38" s="24">
        <f>4165000</f>
        <v>4165000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4165000</f>
        <v>4165000</v>
      </c>
      <c r="AU38" s="24"/>
      <c r="AV38" s="24"/>
      <c r="AW38" s="25" t="s">
        <v>71</v>
      </c>
      <c r="AX38" s="25"/>
      <c r="AY38" s="24">
        <f>3299713.64</f>
        <v>3299713.64</v>
      </c>
      <c r="AZ38" s="24"/>
      <c r="BA38" s="25" t="s">
        <v>71</v>
      </c>
      <c r="BB38" s="25"/>
      <c r="BC38" s="25"/>
      <c r="BD38" s="24">
        <f>3299713.64</f>
        <v>3299713.64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3299713.64</f>
        <v>3299713.64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1378000</f>
        <v>1378000</v>
      </c>
      <c r="V39" s="24"/>
      <c r="W39" s="24"/>
      <c r="X39" s="25" t="s">
        <v>71</v>
      </c>
      <c r="Y39" s="25"/>
      <c r="Z39" s="25"/>
      <c r="AA39" s="25"/>
      <c r="AB39" s="24">
        <f>1378000</f>
        <v>1378000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1378000</f>
        <v>1378000</v>
      </c>
      <c r="AU39" s="24"/>
      <c r="AV39" s="24"/>
      <c r="AW39" s="25" t="s">
        <v>71</v>
      </c>
      <c r="AX39" s="25"/>
      <c r="AY39" s="24">
        <f>1263975.8</f>
        <v>1263975.8</v>
      </c>
      <c r="AZ39" s="24"/>
      <c r="BA39" s="25" t="s">
        <v>71</v>
      </c>
      <c r="BB39" s="25"/>
      <c r="BC39" s="25"/>
      <c r="BD39" s="24">
        <f>1263975.8</f>
        <v>1263975.8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1263975.8</f>
        <v>1263975.8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1378000</f>
        <v>1378000</v>
      </c>
      <c r="V40" s="24"/>
      <c r="W40" s="24"/>
      <c r="X40" s="25" t="s">
        <v>71</v>
      </c>
      <c r="Y40" s="25"/>
      <c r="Z40" s="25"/>
      <c r="AA40" s="25"/>
      <c r="AB40" s="24">
        <f>1378000</f>
        <v>1378000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1378000</f>
        <v>1378000</v>
      </c>
      <c r="AU40" s="24"/>
      <c r="AV40" s="24"/>
      <c r="AW40" s="25" t="s">
        <v>71</v>
      </c>
      <c r="AX40" s="25"/>
      <c r="AY40" s="24">
        <f>1263975.8</f>
        <v>1263975.8</v>
      </c>
      <c r="AZ40" s="24"/>
      <c r="BA40" s="25" t="s">
        <v>71</v>
      </c>
      <c r="BB40" s="25"/>
      <c r="BC40" s="25"/>
      <c r="BD40" s="24">
        <f>1263975.8</f>
        <v>1263975.8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1263975.8</f>
        <v>1263975.8</v>
      </c>
      <c r="BO40" s="24"/>
      <c r="BP40" s="24"/>
      <c r="BQ40" s="27" t="s">
        <v>71</v>
      </c>
    </row>
    <row r="41" spans="1:69" s="1" customFormat="1" ht="13.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5" t="s">
        <v>71</v>
      </c>
      <c r="V41" s="25"/>
      <c r="W41" s="25"/>
      <c r="X41" s="25" t="s">
        <v>71</v>
      </c>
      <c r="Y41" s="25"/>
      <c r="Z41" s="25"/>
      <c r="AA41" s="25"/>
      <c r="AB41" s="25" t="s">
        <v>71</v>
      </c>
      <c r="AC41" s="25"/>
      <c r="AD41" s="25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5" t="s">
        <v>71</v>
      </c>
      <c r="AU41" s="25"/>
      <c r="AV41" s="25"/>
      <c r="AW41" s="25" t="s">
        <v>71</v>
      </c>
      <c r="AX41" s="25"/>
      <c r="AY41" s="24">
        <f>1700</f>
        <v>1700</v>
      </c>
      <c r="AZ41" s="24"/>
      <c r="BA41" s="25" t="s">
        <v>71</v>
      </c>
      <c r="BB41" s="25"/>
      <c r="BC41" s="25"/>
      <c r="BD41" s="24">
        <f>1700</f>
        <v>1700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1700</f>
        <v>1700</v>
      </c>
      <c r="BO41" s="24"/>
      <c r="BP41" s="24"/>
      <c r="BQ41" s="27" t="s">
        <v>71</v>
      </c>
    </row>
    <row r="42" spans="1:69" s="1" customFormat="1" ht="33.7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1700</f>
        <v>1700</v>
      </c>
      <c r="AZ42" s="24"/>
      <c r="BA42" s="25" t="s">
        <v>71</v>
      </c>
      <c r="BB42" s="25"/>
      <c r="BC42" s="25"/>
      <c r="BD42" s="24">
        <f>1700</f>
        <v>1700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1700</f>
        <v>1700</v>
      </c>
      <c r="BO42" s="24"/>
      <c r="BP42" s="24"/>
      <c r="BQ42" s="27" t="s">
        <v>71</v>
      </c>
    </row>
    <row r="43" spans="1:69" s="1" customFormat="1" ht="54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1700</f>
        <v>1700</v>
      </c>
      <c r="AZ43" s="24"/>
      <c r="BA43" s="25" t="s">
        <v>71</v>
      </c>
      <c r="BB43" s="25"/>
      <c r="BC43" s="25"/>
      <c r="BD43" s="24">
        <f>1700</f>
        <v>1700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1700</f>
        <v>1700</v>
      </c>
      <c r="BO43" s="24"/>
      <c r="BP43" s="24"/>
      <c r="BQ43" s="27" t="s">
        <v>71</v>
      </c>
    </row>
    <row r="44" spans="1:69" s="1" customFormat="1" ht="33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1100000</f>
        <v>1100000</v>
      </c>
      <c r="V44" s="24"/>
      <c r="W44" s="24"/>
      <c r="X44" s="25" t="s">
        <v>71</v>
      </c>
      <c r="Y44" s="25"/>
      <c r="Z44" s="25"/>
      <c r="AA44" s="25"/>
      <c r="AB44" s="24">
        <f>1100000</f>
        <v>1100000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1100000</f>
        <v>1100000</v>
      </c>
      <c r="AU44" s="24"/>
      <c r="AV44" s="24"/>
      <c r="AW44" s="25" t="s">
        <v>71</v>
      </c>
      <c r="AX44" s="25"/>
      <c r="AY44" s="24">
        <f>1845978.29</f>
        <v>1845978.29</v>
      </c>
      <c r="AZ44" s="24"/>
      <c r="BA44" s="25" t="s">
        <v>71</v>
      </c>
      <c r="BB44" s="25"/>
      <c r="BC44" s="25"/>
      <c r="BD44" s="24">
        <f>1845978.29</f>
        <v>1845978.29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1845978.29</f>
        <v>1845978.29</v>
      </c>
      <c r="BO44" s="24"/>
      <c r="BP44" s="24"/>
      <c r="BQ44" s="27" t="s">
        <v>71</v>
      </c>
    </row>
    <row r="45" spans="1:69" s="1" customFormat="1" ht="75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4">
        <f>375000</f>
        <v>375000</v>
      </c>
      <c r="V45" s="24"/>
      <c r="W45" s="24"/>
      <c r="X45" s="25" t="s">
        <v>71</v>
      </c>
      <c r="Y45" s="25"/>
      <c r="Z45" s="25"/>
      <c r="AA45" s="25"/>
      <c r="AB45" s="24">
        <f>375000</f>
        <v>375000</v>
      </c>
      <c r="AC45" s="24"/>
      <c r="AD45" s="24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4">
        <f>375000</f>
        <v>375000</v>
      </c>
      <c r="AU45" s="24"/>
      <c r="AV45" s="24"/>
      <c r="AW45" s="25" t="s">
        <v>71</v>
      </c>
      <c r="AX45" s="25"/>
      <c r="AY45" s="24">
        <f>1151163.57</f>
        <v>1151163.57</v>
      </c>
      <c r="AZ45" s="24"/>
      <c r="BA45" s="25" t="s">
        <v>71</v>
      </c>
      <c r="BB45" s="25"/>
      <c r="BC45" s="25"/>
      <c r="BD45" s="24">
        <f>1151163.57</f>
        <v>1151163.57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1151163.57</f>
        <v>1151163.57</v>
      </c>
      <c r="BO45" s="24"/>
      <c r="BP45" s="24"/>
      <c r="BQ45" s="27" t="s">
        <v>71</v>
      </c>
    </row>
    <row r="46" spans="1:69" s="1" customFormat="1" ht="54.7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4">
        <f>375000</f>
        <v>375000</v>
      </c>
      <c r="V46" s="24"/>
      <c r="W46" s="24"/>
      <c r="X46" s="25" t="s">
        <v>71</v>
      </c>
      <c r="Y46" s="25"/>
      <c r="Z46" s="25"/>
      <c r="AA46" s="25"/>
      <c r="AB46" s="24">
        <f>375000</f>
        <v>375000</v>
      </c>
      <c r="AC46" s="24"/>
      <c r="AD46" s="24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4">
        <f>375000</f>
        <v>375000</v>
      </c>
      <c r="AU46" s="24"/>
      <c r="AV46" s="24"/>
      <c r="AW46" s="25" t="s">
        <v>71</v>
      </c>
      <c r="AX46" s="25"/>
      <c r="AY46" s="24">
        <f>1151163.57</f>
        <v>1151163.57</v>
      </c>
      <c r="AZ46" s="24"/>
      <c r="BA46" s="25" t="s">
        <v>71</v>
      </c>
      <c r="BB46" s="25"/>
      <c r="BC46" s="25"/>
      <c r="BD46" s="24">
        <f>1151163.57</f>
        <v>1151163.57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1151163.57</f>
        <v>1151163.57</v>
      </c>
      <c r="BO46" s="24"/>
      <c r="BP46" s="24"/>
      <c r="BQ46" s="27" t="s">
        <v>71</v>
      </c>
    </row>
    <row r="47" spans="1:69" s="1" customFormat="1" ht="75.75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4">
        <f>375000</f>
        <v>375000</v>
      </c>
      <c r="V47" s="24"/>
      <c r="W47" s="24"/>
      <c r="X47" s="25" t="s">
        <v>71</v>
      </c>
      <c r="Y47" s="25"/>
      <c r="Z47" s="25"/>
      <c r="AA47" s="25"/>
      <c r="AB47" s="24">
        <f>375000</f>
        <v>375000</v>
      </c>
      <c r="AC47" s="24"/>
      <c r="AD47" s="24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4">
        <f>375000</f>
        <v>375000</v>
      </c>
      <c r="AU47" s="24"/>
      <c r="AV47" s="24"/>
      <c r="AW47" s="25" t="s">
        <v>71</v>
      </c>
      <c r="AX47" s="25"/>
      <c r="AY47" s="24">
        <f>1151163.57</f>
        <v>1151163.57</v>
      </c>
      <c r="AZ47" s="24"/>
      <c r="BA47" s="25" t="s">
        <v>71</v>
      </c>
      <c r="BB47" s="25"/>
      <c r="BC47" s="25"/>
      <c r="BD47" s="24">
        <f>1151163.57</f>
        <v>1151163.57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1151163.57</f>
        <v>1151163.57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694814.72</f>
        <v>694814.72</v>
      </c>
      <c r="AZ48" s="24"/>
      <c r="BA48" s="25" t="s">
        <v>71</v>
      </c>
      <c r="BB48" s="25"/>
      <c r="BC48" s="25"/>
      <c r="BD48" s="24">
        <f>694814.72</f>
        <v>694814.72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694814.72</f>
        <v>694814.72</v>
      </c>
      <c r="BO48" s="24"/>
      <c r="BP48" s="24"/>
      <c r="BQ48" s="27" t="s">
        <v>71</v>
      </c>
    </row>
    <row r="49" spans="1:69" s="1" customFormat="1" ht="66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71</v>
      </c>
      <c r="Y49" s="25"/>
      <c r="Z49" s="25"/>
      <c r="AA49" s="25"/>
      <c r="AB49" s="24">
        <f>725000</f>
        <v>725000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725000</f>
        <v>725000</v>
      </c>
      <c r="AU49" s="24"/>
      <c r="AV49" s="24"/>
      <c r="AW49" s="25" t="s">
        <v>71</v>
      </c>
      <c r="AX49" s="25"/>
      <c r="AY49" s="24">
        <f>694814.72</f>
        <v>694814.72</v>
      </c>
      <c r="AZ49" s="24"/>
      <c r="BA49" s="25" t="s">
        <v>71</v>
      </c>
      <c r="BB49" s="25"/>
      <c r="BC49" s="25"/>
      <c r="BD49" s="24">
        <f>694814.72</f>
        <v>694814.72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694814.72</f>
        <v>694814.72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71</v>
      </c>
      <c r="Y50" s="25"/>
      <c r="Z50" s="25"/>
      <c r="AA50" s="25"/>
      <c r="AB50" s="24">
        <f>725000</f>
        <v>725000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725000</f>
        <v>725000</v>
      </c>
      <c r="AU50" s="24"/>
      <c r="AV50" s="24"/>
      <c r="AW50" s="25" t="s">
        <v>71</v>
      </c>
      <c r="AX50" s="25"/>
      <c r="AY50" s="24">
        <f>694814.72</f>
        <v>694814.72</v>
      </c>
      <c r="AZ50" s="24"/>
      <c r="BA50" s="25" t="s">
        <v>71</v>
      </c>
      <c r="BB50" s="25"/>
      <c r="BC50" s="25"/>
      <c r="BD50" s="24">
        <f>694814.72</f>
        <v>694814.72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694814.72</f>
        <v>694814.72</v>
      </c>
      <c r="BO50" s="24"/>
      <c r="BP50" s="24"/>
      <c r="BQ50" s="27" t="s">
        <v>71</v>
      </c>
    </row>
    <row r="51" spans="1:69" s="1" customFormat="1" ht="13.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6005.63</f>
        <v>6005.63</v>
      </c>
      <c r="AZ51" s="24"/>
      <c r="BA51" s="25" t="s">
        <v>71</v>
      </c>
      <c r="BB51" s="25"/>
      <c r="BC51" s="25"/>
      <c r="BD51" s="24">
        <f>6005.63</f>
        <v>6005.63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6005.63</f>
        <v>6005.63</v>
      </c>
      <c r="BO51" s="24"/>
      <c r="BP51" s="24"/>
      <c r="BQ51" s="27" t="s">
        <v>71</v>
      </c>
    </row>
    <row r="52" spans="1:69" s="1" customFormat="1" ht="24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6005.63</f>
        <v>6005.63</v>
      </c>
      <c r="AZ52" s="24"/>
      <c r="BA52" s="25" t="s">
        <v>71</v>
      </c>
      <c r="BB52" s="25"/>
      <c r="BC52" s="25"/>
      <c r="BD52" s="24">
        <f>6005.63</f>
        <v>6005.63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6005.63</f>
        <v>6005.63</v>
      </c>
      <c r="BO52" s="24"/>
      <c r="BP52" s="24"/>
      <c r="BQ52" s="27" t="s">
        <v>71</v>
      </c>
    </row>
    <row r="53" spans="1:69" s="1" customFormat="1" ht="75.7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6005.63</f>
        <v>6005.63</v>
      </c>
      <c r="AZ53" s="24"/>
      <c r="BA53" s="25" t="s">
        <v>71</v>
      </c>
      <c r="BB53" s="25"/>
      <c r="BC53" s="25"/>
      <c r="BD53" s="24">
        <f>6005.63</f>
        <v>6005.63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6005.63</f>
        <v>6005.63</v>
      </c>
      <c r="BO53" s="24"/>
      <c r="BP53" s="24"/>
      <c r="BQ53" s="27" t="s">
        <v>71</v>
      </c>
    </row>
    <row r="54" spans="1:69" s="1" customFormat="1" ht="54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6005.63</f>
        <v>6005.63</v>
      </c>
      <c r="AZ54" s="24"/>
      <c r="BA54" s="25" t="s">
        <v>71</v>
      </c>
      <c r="BB54" s="25"/>
      <c r="BC54" s="25"/>
      <c r="BD54" s="24">
        <f>6005.63</f>
        <v>6005.63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6005.63</f>
        <v>6005.63</v>
      </c>
      <c r="BO54" s="24"/>
      <c r="BP54" s="24"/>
      <c r="BQ54" s="27" t="s">
        <v>71</v>
      </c>
    </row>
    <row r="55" spans="1:69" s="1" customFormat="1" ht="13.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 aca="true" t="shared" si="0" ref="U55:U75">0</f>
        <v>0</v>
      </c>
      <c r="V55" s="24"/>
      <c r="W55" s="24"/>
      <c r="X55" s="25" t="s">
        <v>71</v>
      </c>
      <c r="Y55" s="25"/>
      <c r="Z55" s="25"/>
      <c r="AA55" s="25"/>
      <c r="AB55" s="24">
        <f aca="true" t="shared" si="1" ref="AB55:AB75">0</f>
        <v>0</v>
      </c>
      <c r="AC55" s="24"/>
      <c r="AD55" s="24"/>
      <c r="AE55" s="28">
        <f>21807019.92</f>
        <v>21807019.92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21807019.92</f>
        <v>21807019.92</v>
      </c>
      <c r="AU55" s="24"/>
      <c r="AV55" s="24"/>
      <c r="AW55" s="25" t="s">
        <v>71</v>
      </c>
      <c r="AX55" s="25"/>
      <c r="AY55" s="24">
        <f aca="true" t="shared" si="2" ref="AY55:AY75">0</f>
        <v>0</v>
      </c>
      <c r="AZ55" s="24"/>
      <c r="BA55" s="25" t="s">
        <v>71</v>
      </c>
      <c r="BB55" s="25"/>
      <c r="BC55" s="25"/>
      <c r="BD55" s="24">
        <f aca="true" t="shared" si="3" ref="BD55:BD75">0</f>
        <v>0</v>
      </c>
      <c r="BE55" s="24"/>
      <c r="BF55" s="28">
        <f>18905469.87</f>
        <v>18905469.87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18905469.87</f>
        <v>18905469.87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 t="shared" si="0"/>
        <v>0</v>
      </c>
      <c r="V56" s="24"/>
      <c r="W56" s="24"/>
      <c r="X56" s="25" t="s">
        <v>71</v>
      </c>
      <c r="Y56" s="25"/>
      <c r="Z56" s="25"/>
      <c r="AA56" s="25"/>
      <c r="AB56" s="24">
        <f t="shared" si="1"/>
        <v>0</v>
      </c>
      <c r="AC56" s="24"/>
      <c r="AD56" s="24"/>
      <c r="AE56" s="28">
        <f>21807019.92</f>
        <v>21807019.92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21807019.92</f>
        <v>21807019.92</v>
      </c>
      <c r="AU56" s="24"/>
      <c r="AV56" s="24"/>
      <c r="AW56" s="25" t="s">
        <v>71</v>
      </c>
      <c r="AX56" s="25"/>
      <c r="AY56" s="24">
        <f t="shared" si="2"/>
        <v>0</v>
      </c>
      <c r="AZ56" s="24"/>
      <c r="BA56" s="25" t="s">
        <v>71</v>
      </c>
      <c r="BB56" s="25"/>
      <c r="BC56" s="25"/>
      <c r="BD56" s="24">
        <f t="shared" si="3"/>
        <v>0</v>
      </c>
      <c r="BE56" s="24"/>
      <c r="BF56" s="28">
        <f>18905469.87</f>
        <v>18905469.87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18905469.87</f>
        <v>18905469.87</v>
      </c>
      <c r="BO56" s="24"/>
      <c r="BP56" s="24"/>
      <c r="BQ56" s="27" t="s">
        <v>71</v>
      </c>
    </row>
    <row r="57" spans="1:69" s="1" customFormat="1" ht="24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 t="shared" si="0"/>
        <v>0</v>
      </c>
      <c r="V57" s="24"/>
      <c r="W57" s="24"/>
      <c r="X57" s="25" t="s">
        <v>71</v>
      </c>
      <c r="Y57" s="25"/>
      <c r="Z57" s="25"/>
      <c r="AA57" s="25"/>
      <c r="AB57" s="24">
        <f t="shared" si="1"/>
        <v>0</v>
      </c>
      <c r="AC57" s="24"/>
      <c r="AD57" s="24"/>
      <c r="AE57" s="28">
        <f>11020000</f>
        <v>11020000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11020000</f>
        <v>11020000</v>
      </c>
      <c r="AU57" s="24"/>
      <c r="AV57" s="24"/>
      <c r="AW57" s="25" t="s">
        <v>71</v>
      </c>
      <c r="AX57" s="25"/>
      <c r="AY57" s="24">
        <f t="shared" si="2"/>
        <v>0</v>
      </c>
      <c r="AZ57" s="24"/>
      <c r="BA57" s="25" t="s">
        <v>71</v>
      </c>
      <c r="BB57" s="25"/>
      <c r="BC57" s="25"/>
      <c r="BD57" s="24">
        <f t="shared" si="3"/>
        <v>0</v>
      </c>
      <c r="BE57" s="24"/>
      <c r="BF57" s="28">
        <f>9209000</f>
        <v>9209000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9209000</f>
        <v>9209000</v>
      </c>
      <c r="BO57" s="24"/>
      <c r="BP57" s="24"/>
      <c r="BQ57" s="27" t="s">
        <v>71</v>
      </c>
    </row>
    <row r="58" spans="1:69" s="1" customFormat="1" ht="13.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 t="shared" si="0"/>
        <v>0</v>
      </c>
      <c r="V58" s="24"/>
      <c r="W58" s="24"/>
      <c r="X58" s="25" t="s">
        <v>71</v>
      </c>
      <c r="Y58" s="25"/>
      <c r="Z58" s="25"/>
      <c r="AA58" s="25"/>
      <c r="AB58" s="24">
        <f t="shared" si="1"/>
        <v>0</v>
      </c>
      <c r="AC58" s="24"/>
      <c r="AD58" s="24"/>
      <c r="AE58" s="28">
        <f>10881000</f>
        <v>10881000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10881000</f>
        <v>10881000</v>
      </c>
      <c r="AU58" s="24"/>
      <c r="AV58" s="24"/>
      <c r="AW58" s="25" t="s">
        <v>71</v>
      </c>
      <c r="AX58" s="25"/>
      <c r="AY58" s="24">
        <f t="shared" si="2"/>
        <v>0</v>
      </c>
      <c r="AZ58" s="24"/>
      <c r="BA58" s="25" t="s">
        <v>71</v>
      </c>
      <c r="BB58" s="25"/>
      <c r="BC58" s="25"/>
      <c r="BD58" s="24">
        <f t="shared" si="3"/>
        <v>0</v>
      </c>
      <c r="BE58" s="24"/>
      <c r="BF58" s="28">
        <f>9070000</f>
        <v>9070000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9070000</f>
        <v>9070000</v>
      </c>
      <c r="BO58" s="24"/>
      <c r="BP58" s="24"/>
      <c r="BQ58" s="27" t="s">
        <v>71</v>
      </c>
    </row>
    <row r="59" spans="1:69" s="1" customFormat="1" ht="33.7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t="shared" si="0"/>
        <v>0</v>
      </c>
      <c r="V59" s="24"/>
      <c r="W59" s="24"/>
      <c r="X59" s="25" t="s">
        <v>71</v>
      </c>
      <c r="Y59" s="25"/>
      <c r="Z59" s="25"/>
      <c r="AA59" s="25"/>
      <c r="AB59" s="24">
        <f t="shared" si="1"/>
        <v>0</v>
      </c>
      <c r="AC59" s="24"/>
      <c r="AD59" s="24"/>
      <c r="AE59" s="28">
        <f>10881000</f>
        <v>10881000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10881000</f>
        <v>10881000</v>
      </c>
      <c r="AU59" s="24"/>
      <c r="AV59" s="24"/>
      <c r="AW59" s="25" t="s">
        <v>71</v>
      </c>
      <c r="AX59" s="25"/>
      <c r="AY59" s="24">
        <f t="shared" si="2"/>
        <v>0</v>
      </c>
      <c r="AZ59" s="24"/>
      <c r="BA59" s="25" t="s">
        <v>71</v>
      </c>
      <c r="BB59" s="25"/>
      <c r="BC59" s="25"/>
      <c r="BD59" s="24">
        <f t="shared" si="3"/>
        <v>0</v>
      </c>
      <c r="BE59" s="24"/>
      <c r="BF59" s="28">
        <f>9070000</f>
        <v>9070000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9070000</f>
        <v>9070000</v>
      </c>
      <c r="BO59" s="24"/>
      <c r="BP59" s="24"/>
      <c r="BQ59" s="27" t="s">
        <v>71</v>
      </c>
    </row>
    <row r="60" spans="1:69" s="1" customFormat="1" ht="33.7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0"/>
        <v>0</v>
      </c>
      <c r="V60" s="24"/>
      <c r="W60" s="24"/>
      <c r="X60" s="25" t="s">
        <v>71</v>
      </c>
      <c r="Y60" s="25"/>
      <c r="Z60" s="25"/>
      <c r="AA60" s="25"/>
      <c r="AB60" s="24">
        <f t="shared" si="1"/>
        <v>0</v>
      </c>
      <c r="AC60" s="24"/>
      <c r="AD60" s="24"/>
      <c r="AE60" s="28">
        <f>139000</f>
        <v>139000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139000</f>
        <v>139000</v>
      </c>
      <c r="AU60" s="24"/>
      <c r="AV60" s="24"/>
      <c r="AW60" s="25" t="s">
        <v>71</v>
      </c>
      <c r="AX60" s="25"/>
      <c r="AY60" s="24">
        <f t="shared" si="2"/>
        <v>0</v>
      </c>
      <c r="AZ60" s="24"/>
      <c r="BA60" s="25" t="s">
        <v>71</v>
      </c>
      <c r="BB60" s="25"/>
      <c r="BC60" s="25"/>
      <c r="BD60" s="24">
        <f t="shared" si="3"/>
        <v>0</v>
      </c>
      <c r="BE60" s="24"/>
      <c r="BF60" s="28">
        <f>139000</f>
        <v>139000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139000</f>
        <v>139000</v>
      </c>
      <c r="BO60" s="24"/>
      <c r="BP60" s="24"/>
      <c r="BQ60" s="27" t="s">
        <v>71</v>
      </c>
    </row>
    <row r="61" spans="1:69" s="1" customFormat="1" ht="33.7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0"/>
        <v>0</v>
      </c>
      <c r="V61" s="24"/>
      <c r="W61" s="24"/>
      <c r="X61" s="25" t="s">
        <v>71</v>
      </c>
      <c r="Y61" s="25"/>
      <c r="Z61" s="25"/>
      <c r="AA61" s="25"/>
      <c r="AB61" s="24">
        <f t="shared" si="1"/>
        <v>0</v>
      </c>
      <c r="AC61" s="24"/>
      <c r="AD61" s="24"/>
      <c r="AE61" s="28">
        <f>139000</f>
        <v>139000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139000</f>
        <v>139000</v>
      </c>
      <c r="AU61" s="24"/>
      <c r="AV61" s="24"/>
      <c r="AW61" s="25" t="s">
        <v>71</v>
      </c>
      <c r="AX61" s="25"/>
      <c r="AY61" s="24">
        <f t="shared" si="2"/>
        <v>0</v>
      </c>
      <c r="AZ61" s="24"/>
      <c r="BA61" s="25" t="s">
        <v>71</v>
      </c>
      <c r="BB61" s="25"/>
      <c r="BC61" s="25"/>
      <c r="BD61" s="24">
        <f t="shared" si="3"/>
        <v>0</v>
      </c>
      <c r="BE61" s="24"/>
      <c r="BF61" s="28">
        <f>139000</f>
        <v>139000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139000</f>
        <v>139000</v>
      </c>
      <c r="BO61" s="24"/>
      <c r="BP61" s="24"/>
      <c r="BQ61" s="27" t="s">
        <v>71</v>
      </c>
    </row>
    <row r="62" spans="1:69" s="1" customFormat="1" ht="24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0"/>
        <v>0</v>
      </c>
      <c r="V62" s="24"/>
      <c r="W62" s="24"/>
      <c r="X62" s="25" t="s">
        <v>71</v>
      </c>
      <c r="Y62" s="25"/>
      <c r="Z62" s="25"/>
      <c r="AA62" s="25"/>
      <c r="AB62" s="24">
        <f t="shared" si="1"/>
        <v>0</v>
      </c>
      <c r="AC62" s="24"/>
      <c r="AD62" s="24"/>
      <c r="AE62" s="28">
        <f>10553488.92</f>
        <v>10553488.92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10553488.92</f>
        <v>10553488.92</v>
      </c>
      <c r="AU62" s="24"/>
      <c r="AV62" s="24"/>
      <c r="AW62" s="25" t="s">
        <v>71</v>
      </c>
      <c r="AX62" s="25"/>
      <c r="AY62" s="24">
        <f t="shared" si="2"/>
        <v>0</v>
      </c>
      <c r="AZ62" s="24"/>
      <c r="BA62" s="25" t="s">
        <v>71</v>
      </c>
      <c r="BB62" s="25"/>
      <c r="BC62" s="25"/>
      <c r="BD62" s="24">
        <f t="shared" si="3"/>
        <v>0</v>
      </c>
      <c r="BE62" s="24"/>
      <c r="BF62" s="28">
        <f>9533688.98</f>
        <v>9533688.98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9533688.98</f>
        <v>9533688.98</v>
      </c>
      <c r="BO62" s="24"/>
      <c r="BP62" s="24"/>
      <c r="BQ62" s="27" t="s">
        <v>71</v>
      </c>
    </row>
    <row r="63" spans="1:69" s="1" customFormat="1" ht="54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71</v>
      </c>
      <c r="Y63" s="25"/>
      <c r="Z63" s="25"/>
      <c r="AA63" s="25"/>
      <c r="AB63" s="24">
        <f t="shared" si="1"/>
        <v>0</v>
      </c>
      <c r="AC63" s="24"/>
      <c r="AD63" s="24"/>
      <c r="AE63" s="28">
        <f>5187061</f>
        <v>5187061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5187061</f>
        <v>5187061</v>
      </c>
      <c r="AU63" s="24"/>
      <c r="AV63" s="24"/>
      <c r="AW63" s="25" t="s">
        <v>71</v>
      </c>
      <c r="AX63" s="25"/>
      <c r="AY63" s="24">
        <f t="shared" si="2"/>
        <v>0</v>
      </c>
      <c r="AZ63" s="24"/>
      <c r="BA63" s="25" t="s">
        <v>71</v>
      </c>
      <c r="BB63" s="25"/>
      <c r="BC63" s="25"/>
      <c r="BD63" s="24">
        <f t="shared" si="3"/>
        <v>0</v>
      </c>
      <c r="BE63" s="24"/>
      <c r="BF63" s="28">
        <f>4544224</f>
        <v>4544224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4">
        <f>4544224</f>
        <v>4544224</v>
      </c>
      <c r="BO63" s="24"/>
      <c r="BP63" s="24"/>
      <c r="BQ63" s="27" t="s">
        <v>71</v>
      </c>
    </row>
    <row r="64" spans="1:69" s="1" customFormat="1" ht="54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71</v>
      </c>
      <c r="Y64" s="25"/>
      <c r="Z64" s="25"/>
      <c r="AA64" s="25"/>
      <c r="AB64" s="24">
        <f t="shared" si="1"/>
        <v>0</v>
      </c>
      <c r="AC64" s="24"/>
      <c r="AD64" s="24"/>
      <c r="AE64" s="28">
        <f>5187061</f>
        <v>5187061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5187061</f>
        <v>5187061</v>
      </c>
      <c r="AU64" s="24"/>
      <c r="AV64" s="24"/>
      <c r="AW64" s="25" t="s">
        <v>71</v>
      </c>
      <c r="AX64" s="25"/>
      <c r="AY64" s="24">
        <f t="shared" si="2"/>
        <v>0</v>
      </c>
      <c r="AZ64" s="24"/>
      <c r="BA64" s="25" t="s">
        <v>71</v>
      </c>
      <c r="BB64" s="25"/>
      <c r="BC64" s="25"/>
      <c r="BD64" s="24">
        <f t="shared" si="3"/>
        <v>0</v>
      </c>
      <c r="BE64" s="24"/>
      <c r="BF64" s="28">
        <f>4544224</f>
        <v>4544224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4">
        <f>4544224</f>
        <v>4544224</v>
      </c>
      <c r="BO64" s="24"/>
      <c r="BP64" s="24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71</v>
      </c>
      <c r="Y65" s="25"/>
      <c r="Z65" s="25"/>
      <c r="AA65" s="25"/>
      <c r="AB65" s="24">
        <f t="shared" si="1"/>
        <v>0</v>
      </c>
      <c r="AC65" s="24"/>
      <c r="AD65" s="24"/>
      <c r="AE65" s="28">
        <f>586100</f>
        <v>586100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586100</f>
        <v>586100</v>
      </c>
      <c r="AU65" s="24"/>
      <c r="AV65" s="24"/>
      <c r="AW65" s="25" t="s">
        <v>71</v>
      </c>
      <c r="AX65" s="25"/>
      <c r="AY65" s="24">
        <f t="shared" si="2"/>
        <v>0</v>
      </c>
      <c r="AZ65" s="24"/>
      <c r="BA65" s="25" t="s">
        <v>71</v>
      </c>
      <c r="BB65" s="25"/>
      <c r="BC65" s="25"/>
      <c r="BD65" s="24">
        <f t="shared" si="3"/>
        <v>0</v>
      </c>
      <c r="BE65" s="24"/>
      <c r="BF65" s="28">
        <f>585675</f>
        <v>585675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585675</f>
        <v>585675</v>
      </c>
      <c r="BO65" s="24"/>
      <c r="BP65" s="24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71</v>
      </c>
      <c r="Y66" s="25"/>
      <c r="Z66" s="25"/>
      <c r="AA66" s="25"/>
      <c r="AB66" s="24">
        <f t="shared" si="1"/>
        <v>0</v>
      </c>
      <c r="AC66" s="24"/>
      <c r="AD66" s="24"/>
      <c r="AE66" s="28">
        <f>586100</f>
        <v>586100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586100</f>
        <v>586100</v>
      </c>
      <c r="AU66" s="24"/>
      <c r="AV66" s="24"/>
      <c r="AW66" s="25" t="s">
        <v>71</v>
      </c>
      <c r="AX66" s="25"/>
      <c r="AY66" s="24">
        <f t="shared" si="2"/>
        <v>0</v>
      </c>
      <c r="AZ66" s="24"/>
      <c r="BA66" s="25" t="s">
        <v>71</v>
      </c>
      <c r="BB66" s="25"/>
      <c r="BC66" s="25"/>
      <c r="BD66" s="24">
        <f t="shared" si="3"/>
        <v>0</v>
      </c>
      <c r="BE66" s="24"/>
      <c r="BF66" s="28">
        <f>585675</f>
        <v>585675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585675</f>
        <v>585675</v>
      </c>
      <c r="BO66" s="24"/>
      <c r="BP66" s="24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71</v>
      </c>
      <c r="Y67" s="25"/>
      <c r="Z67" s="25"/>
      <c r="AA67" s="25"/>
      <c r="AB67" s="24">
        <f t="shared" si="1"/>
        <v>0</v>
      </c>
      <c r="AC67" s="24"/>
      <c r="AD67" s="24"/>
      <c r="AE67" s="28">
        <f>3005183</f>
        <v>3005183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3005183</f>
        <v>3005183</v>
      </c>
      <c r="AU67" s="24"/>
      <c r="AV67" s="24"/>
      <c r="AW67" s="25" t="s">
        <v>71</v>
      </c>
      <c r="AX67" s="25"/>
      <c r="AY67" s="24">
        <f t="shared" si="2"/>
        <v>0</v>
      </c>
      <c r="AZ67" s="24"/>
      <c r="BA67" s="25" t="s">
        <v>71</v>
      </c>
      <c r="BB67" s="25"/>
      <c r="BC67" s="25"/>
      <c r="BD67" s="24">
        <f t="shared" si="3"/>
        <v>0</v>
      </c>
      <c r="BE67" s="24"/>
      <c r="BF67" s="28">
        <f>2999196.7</f>
        <v>2999196.7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4">
        <f>2999196.7</f>
        <v>2999196.7</v>
      </c>
      <c r="BO67" s="24"/>
      <c r="BP67" s="24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71</v>
      </c>
      <c r="Y68" s="25"/>
      <c r="Z68" s="25"/>
      <c r="AA68" s="25"/>
      <c r="AB68" s="24">
        <f t="shared" si="1"/>
        <v>0</v>
      </c>
      <c r="AC68" s="24"/>
      <c r="AD68" s="24"/>
      <c r="AE68" s="28">
        <f>3005183</f>
        <v>3005183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3005183</f>
        <v>3005183</v>
      </c>
      <c r="AU68" s="24"/>
      <c r="AV68" s="24"/>
      <c r="AW68" s="25" t="s">
        <v>71</v>
      </c>
      <c r="AX68" s="25"/>
      <c r="AY68" s="24">
        <f t="shared" si="2"/>
        <v>0</v>
      </c>
      <c r="AZ68" s="24"/>
      <c r="BA68" s="25" t="s">
        <v>71</v>
      </c>
      <c r="BB68" s="25"/>
      <c r="BC68" s="25"/>
      <c r="BD68" s="24">
        <f t="shared" si="3"/>
        <v>0</v>
      </c>
      <c r="BE68" s="24"/>
      <c r="BF68" s="28">
        <f>2999196.7</f>
        <v>2999196.7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4">
        <f>2999196.7</f>
        <v>2999196.7</v>
      </c>
      <c r="BO68" s="24"/>
      <c r="BP68" s="24"/>
      <c r="BQ68" s="27" t="s">
        <v>71</v>
      </c>
    </row>
    <row r="69" spans="1:69" s="1" customFormat="1" ht="24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71</v>
      </c>
      <c r="Y69" s="25"/>
      <c r="Z69" s="25"/>
      <c r="AA69" s="25"/>
      <c r="AB69" s="24">
        <f t="shared" si="1"/>
        <v>0</v>
      </c>
      <c r="AC69" s="24"/>
      <c r="AD69" s="24"/>
      <c r="AE69" s="28">
        <f>925144.92</f>
        <v>925144.92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925144.92</f>
        <v>925144.92</v>
      </c>
      <c r="AU69" s="24"/>
      <c r="AV69" s="24"/>
      <c r="AW69" s="25" t="s">
        <v>71</v>
      </c>
      <c r="AX69" s="25"/>
      <c r="AY69" s="24">
        <f t="shared" si="2"/>
        <v>0</v>
      </c>
      <c r="AZ69" s="24"/>
      <c r="BA69" s="25" t="s">
        <v>71</v>
      </c>
      <c r="BB69" s="25"/>
      <c r="BC69" s="25"/>
      <c r="BD69" s="24">
        <f t="shared" si="3"/>
        <v>0</v>
      </c>
      <c r="BE69" s="24"/>
      <c r="BF69" s="28">
        <f>730675.28</f>
        <v>730675.28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4">
        <f>730675.28</f>
        <v>730675.28</v>
      </c>
      <c r="BO69" s="24"/>
      <c r="BP69" s="24"/>
      <c r="BQ69" s="27" t="s">
        <v>71</v>
      </c>
    </row>
    <row r="70" spans="1:69" s="1" customFormat="1" ht="24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71</v>
      </c>
      <c r="Y70" s="25"/>
      <c r="Z70" s="25"/>
      <c r="AA70" s="25"/>
      <c r="AB70" s="24">
        <f t="shared" si="1"/>
        <v>0</v>
      </c>
      <c r="AC70" s="24"/>
      <c r="AD70" s="24"/>
      <c r="AE70" s="28">
        <f>925144.92</f>
        <v>925144.92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925144.92</f>
        <v>925144.92</v>
      </c>
      <c r="AU70" s="24"/>
      <c r="AV70" s="24"/>
      <c r="AW70" s="25" t="s">
        <v>71</v>
      </c>
      <c r="AX70" s="25"/>
      <c r="AY70" s="24">
        <f t="shared" si="2"/>
        <v>0</v>
      </c>
      <c r="AZ70" s="24"/>
      <c r="BA70" s="25" t="s">
        <v>71</v>
      </c>
      <c r="BB70" s="25"/>
      <c r="BC70" s="25"/>
      <c r="BD70" s="24">
        <f t="shared" si="3"/>
        <v>0</v>
      </c>
      <c r="BE70" s="24"/>
      <c r="BF70" s="28">
        <f>730675.28</f>
        <v>730675.28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4">
        <f>730675.28</f>
        <v>730675.28</v>
      </c>
      <c r="BO70" s="24"/>
      <c r="BP70" s="24"/>
      <c r="BQ70" s="27" t="s">
        <v>71</v>
      </c>
    </row>
    <row r="71" spans="1:69" s="1" customFormat="1" ht="13.5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71</v>
      </c>
      <c r="Y71" s="25"/>
      <c r="Z71" s="25"/>
      <c r="AA71" s="25"/>
      <c r="AB71" s="24">
        <f t="shared" si="1"/>
        <v>0</v>
      </c>
      <c r="AC71" s="24"/>
      <c r="AD71" s="24"/>
      <c r="AE71" s="28">
        <f>850000</f>
        <v>850000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850000</f>
        <v>850000</v>
      </c>
      <c r="AU71" s="24"/>
      <c r="AV71" s="24"/>
      <c r="AW71" s="25" t="s">
        <v>71</v>
      </c>
      <c r="AX71" s="25"/>
      <c r="AY71" s="24">
        <f t="shared" si="2"/>
        <v>0</v>
      </c>
      <c r="AZ71" s="24"/>
      <c r="BA71" s="25" t="s">
        <v>71</v>
      </c>
      <c r="BB71" s="25"/>
      <c r="BC71" s="25"/>
      <c r="BD71" s="24">
        <f t="shared" si="3"/>
        <v>0</v>
      </c>
      <c r="BE71" s="24"/>
      <c r="BF71" s="28">
        <f>673918</f>
        <v>673918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673918</f>
        <v>673918</v>
      </c>
      <c r="BO71" s="24"/>
      <c r="BP71" s="24"/>
      <c r="BQ71" s="27" t="s">
        <v>71</v>
      </c>
    </row>
    <row r="72" spans="1:69" s="1" customFormat="1" ht="13.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71</v>
      </c>
      <c r="Y72" s="25"/>
      <c r="Z72" s="25"/>
      <c r="AA72" s="25"/>
      <c r="AB72" s="24">
        <f t="shared" si="1"/>
        <v>0</v>
      </c>
      <c r="AC72" s="24"/>
      <c r="AD72" s="24"/>
      <c r="AE72" s="28">
        <f>850000</f>
        <v>850000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850000</f>
        <v>850000</v>
      </c>
      <c r="AU72" s="24"/>
      <c r="AV72" s="24"/>
      <c r="AW72" s="25" t="s">
        <v>71</v>
      </c>
      <c r="AX72" s="25"/>
      <c r="AY72" s="24">
        <f t="shared" si="2"/>
        <v>0</v>
      </c>
      <c r="AZ72" s="24"/>
      <c r="BA72" s="25" t="s">
        <v>71</v>
      </c>
      <c r="BB72" s="25"/>
      <c r="BC72" s="25"/>
      <c r="BD72" s="24">
        <f t="shared" si="3"/>
        <v>0</v>
      </c>
      <c r="BE72" s="24"/>
      <c r="BF72" s="28">
        <f>673918</f>
        <v>673918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673918</f>
        <v>673918</v>
      </c>
      <c r="BO72" s="24"/>
      <c r="BP72" s="24"/>
      <c r="BQ72" s="27" t="s">
        <v>71</v>
      </c>
    </row>
    <row r="73" spans="1:69" s="1" customFormat="1" ht="24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71</v>
      </c>
      <c r="Y73" s="25"/>
      <c r="Z73" s="25"/>
      <c r="AA73" s="25"/>
      <c r="AB73" s="24">
        <f t="shared" si="1"/>
        <v>0</v>
      </c>
      <c r="AC73" s="24"/>
      <c r="AD73" s="24"/>
      <c r="AE73" s="28">
        <f>233531</f>
        <v>233531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233531</f>
        <v>233531</v>
      </c>
      <c r="AU73" s="24"/>
      <c r="AV73" s="24"/>
      <c r="AW73" s="25" t="s">
        <v>71</v>
      </c>
      <c r="AX73" s="25"/>
      <c r="AY73" s="24">
        <f t="shared" si="2"/>
        <v>0</v>
      </c>
      <c r="AZ73" s="24"/>
      <c r="BA73" s="25" t="s">
        <v>71</v>
      </c>
      <c r="BB73" s="25"/>
      <c r="BC73" s="25"/>
      <c r="BD73" s="24">
        <f t="shared" si="3"/>
        <v>0</v>
      </c>
      <c r="BE73" s="24"/>
      <c r="BF73" s="28">
        <f>162780.89</f>
        <v>162780.89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162780.89</f>
        <v>162780.89</v>
      </c>
      <c r="BO73" s="24"/>
      <c r="BP73" s="24"/>
      <c r="BQ73" s="27" t="s">
        <v>71</v>
      </c>
    </row>
    <row r="74" spans="1:69" s="1" customFormat="1" ht="33.7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71</v>
      </c>
      <c r="Y74" s="25"/>
      <c r="Z74" s="25"/>
      <c r="AA74" s="25"/>
      <c r="AB74" s="24">
        <f t="shared" si="1"/>
        <v>0</v>
      </c>
      <c r="AC74" s="24"/>
      <c r="AD74" s="24"/>
      <c r="AE74" s="28">
        <f>233531</f>
        <v>233531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233531</f>
        <v>233531</v>
      </c>
      <c r="AU74" s="24"/>
      <c r="AV74" s="24"/>
      <c r="AW74" s="25" t="s">
        <v>71</v>
      </c>
      <c r="AX74" s="25"/>
      <c r="AY74" s="24">
        <f t="shared" si="2"/>
        <v>0</v>
      </c>
      <c r="AZ74" s="24"/>
      <c r="BA74" s="25" t="s">
        <v>71</v>
      </c>
      <c r="BB74" s="25"/>
      <c r="BC74" s="25"/>
      <c r="BD74" s="24">
        <f t="shared" si="3"/>
        <v>0</v>
      </c>
      <c r="BE74" s="24"/>
      <c r="BF74" s="28">
        <f>162780.89</f>
        <v>162780.89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4">
        <f>162780.89</f>
        <v>162780.89</v>
      </c>
      <c r="BO74" s="24"/>
      <c r="BP74" s="24"/>
      <c r="BQ74" s="27" t="s">
        <v>71</v>
      </c>
    </row>
    <row r="75" spans="1:69" s="1" customFormat="1" ht="33.75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71</v>
      </c>
      <c r="Y75" s="25"/>
      <c r="Z75" s="25"/>
      <c r="AA75" s="25"/>
      <c r="AB75" s="24">
        <f t="shared" si="1"/>
        <v>0</v>
      </c>
      <c r="AC75" s="24"/>
      <c r="AD75" s="24"/>
      <c r="AE75" s="28">
        <f>233531</f>
        <v>233531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233531</f>
        <v>233531</v>
      </c>
      <c r="AU75" s="24"/>
      <c r="AV75" s="24"/>
      <c r="AW75" s="25" t="s">
        <v>71</v>
      </c>
      <c r="AX75" s="25"/>
      <c r="AY75" s="24">
        <f t="shared" si="2"/>
        <v>0</v>
      </c>
      <c r="AZ75" s="24"/>
      <c r="BA75" s="25" t="s">
        <v>71</v>
      </c>
      <c r="BB75" s="25"/>
      <c r="BC75" s="25"/>
      <c r="BD75" s="24">
        <f t="shared" si="3"/>
        <v>0</v>
      </c>
      <c r="BE75" s="24"/>
      <c r="BF75" s="28">
        <f>162780.89</f>
        <v>162780.89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4">
        <f>162780.89</f>
        <v>162780.89</v>
      </c>
      <c r="BO75" s="24"/>
      <c r="BP75" s="24"/>
      <c r="BQ75" s="27" t="s">
        <v>71</v>
      </c>
    </row>
    <row r="76" spans="1:69" s="1" customFormat="1" ht="13.5" customHeight="1">
      <c r="A76" s="29" t="s">
        <v>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 t="s">
        <v>9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</row>
    <row r="77" spans="1:69" s="1" customFormat="1" ht="15.75" customHeight="1">
      <c r="A77" s="12" t="s">
        <v>195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</row>
    <row r="78" spans="1:69" s="1" customFormat="1" ht="28.5" customHeight="1">
      <c r="A78" s="3" t="s">
        <v>21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 t="s">
        <v>22</v>
      </c>
      <c r="N78" s="3"/>
      <c r="O78" s="3"/>
      <c r="P78" s="3" t="s">
        <v>23</v>
      </c>
      <c r="Q78" s="3"/>
      <c r="R78" s="3"/>
      <c r="S78" s="3"/>
      <c r="T78" s="3"/>
      <c r="U78" s="3" t="s">
        <v>24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 t="s">
        <v>38</v>
      </c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s="1" customFormat="1" ht="12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3" t="s">
        <v>25</v>
      </c>
      <c r="V79" s="13"/>
      <c r="W79" s="13"/>
      <c r="X79" s="13" t="s">
        <v>26</v>
      </c>
      <c r="Y79" s="13"/>
      <c r="Z79" s="13"/>
      <c r="AA79" s="13"/>
      <c r="AB79" s="13" t="s">
        <v>27</v>
      </c>
      <c r="AC79" s="13"/>
      <c r="AD79" s="13"/>
      <c r="AE79" s="14" t="s">
        <v>28</v>
      </c>
      <c r="AF79" s="14" t="s">
        <v>29</v>
      </c>
      <c r="AG79" s="13" t="s">
        <v>30</v>
      </c>
      <c r="AH79" s="13"/>
      <c r="AI79" s="13"/>
      <c r="AJ79" s="13" t="s">
        <v>31</v>
      </c>
      <c r="AK79" s="13"/>
      <c r="AL79" s="13" t="s">
        <v>32</v>
      </c>
      <c r="AM79" s="13"/>
      <c r="AN79" s="13" t="s">
        <v>33</v>
      </c>
      <c r="AO79" s="13"/>
      <c r="AP79" s="13" t="s">
        <v>34</v>
      </c>
      <c r="AQ79" s="13"/>
      <c r="AR79" s="13"/>
      <c r="AS79" s="14" t="s">
        <v>35</v>
      </c>
      <c r="AT79" s="13" t="s">
        <v>36</v>
      </c>
      <c r="AU79" s="13"/>
      <c r="AV79" s="13"/>
      <c r="AW79" s="13" t="s">
        <v>37</v>
      </c>
      <c r="AX79" s="13"/>
      <c r="AY79" s="13" t="s">
        <v>25</v>
      </c>
      <c r="AZ79" s="13"/>
      <c r="BA79" s="13" t="s">
        <v>26</v>
      </c>
      <c r="BB79" s="13"/>
      <c r="BC79" s="13"/>
      <c r="BD79" s="13" t="s">
        <v>27</v>
      </c>
      <c r="BE79" s="13"/>
      <c r="BF79" s="14" t="s">
        <v>28</v>
      </c>
      <c r="BG79" s="14" t="s">
        <v>29</v>
      </c>
      <c r="BH79" s="14" t="s">
        <v>30</v>
      </c>
      <c r="BI79" s="14" t="s">
        <v>31</v>
      </c>
      <c r="BJ79" s="14" t="s">
        <v>32</v>
      </c>
      <c r="BK79" s="14" t="s">
        <v>33</v>
      </c>
      <c r="BL79" s="14" t="s">
        <v>34</v>
      </c>
      <c r="BM79" s="14" t="s">
        <v>35</v>
      </c>
      <c r="BN79" s="13" t="s">
        <v>36</v>
      </c>
      <c r="BO79" s="13"/>
      <c r="BP79" s="13"/>
      <c r="BQ79" s="14" t="s">
        <v>37</v>
      </c>
    </row>
    <row r="80" spans="1:69" s="1" customFormat="1" ht="13.5" customHeight="1">
      <c r="A80" s="3" t="s">
        <v>39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 t="s">
        <v>40</v>
      </c>
      <c r="N80" s="3"/>
      <c r="O80" s="3"/>
      <c r="P80" s="3" t="s">
        <v>41</v>
      </c>
      <c r="Q80" s="3"/>
      <c r="R80" s="3"/>
      <c r="S80" s="3"/>
      <c r="T80" s="3"/>
      <c r="U80" s="3" t="s">
        <v>42</v>
      </c>
      <c r="V80" s="3"/>
      <c r="W80" s="3"/>
      <c r="X80" s="3" t="s">
        <v>43</v>
      </c>
      <c r="Y80" s="3"/>
      <c r="Z80" s="3"/>
      <c r="AA80" s="3"/>
      <c r="AB80" s="3" t="s">
        <v>44</v>
      </c>
      <c r="AC80" s="3"/>
      <c r="AD80" s="3"/>
      <c r="AE80" s="15" t="s">
        <v>45</v>
      </c>
      <c r="AF80" s="15" t="s">
        <v>46</v>
      </c>
      <c r="AG80" s="3" t="s">
        <v>47</v>
      </c>
      <c r="AH80" s="3"/>
      <c r="AI80" s="3"/>
      <c r="AJ80" s="3" t="s">
        <v>48</v>
      </c>
      <c r="AK80" s="3"/>
      <c r="AL80" s="3" t="s">
        <v>49</v>
      </c>
      <c r="AM80" s="3"/>
      <c r="AN80" s="3" t="s">
        <v>50</v>
      </c>
      <c r="AO80" s="3"/>
      <c r="AP80" s="3" t="s">
        <v>51</v>
      </c>
      <c r="AQ80" s="3"/>
      <c r="AR80" s="3"/>
      <c r="AS80" s="15" t="s">
        <v>52</v>
      </c>
      <c r="AT80" s="3" t="s">
        <v>53</v>
      </c>
      <c r="AU80" s="3"/>
      <c r="AV80" s="3"/>
      <c r="AW80" s="3" t="s">
        <v>54</v>
      </c>
      <c r="AX80" s="3"/>
      <c r="AY80" s="3" t="s">
        <v>55</v>
      </c>
      <c r="AZ80" s="3"/>
      <c r="BA80" s="3" t="s">
        <v>56</v>
      </c>
      <c r="BB80" s="3"/>
      <c r="BC80" s="3"/>
      <c r="BD80" s="3" t="s">
        <v>57</v>
      </c>
      <c r="BE80" s="3"/>
      <c r="BF80" s="15" t="s">
        <v>58</v>
      </c>
      <c r="BG80" s="15" t="s">
        <v>59</v>
      </c>
      <c r="BH80" s="15" t="s">
        <v>60</v>
      </c>
      <c r="BI80" s="15" t="s">
        <v>61</v>
      </c>
      <c r="BJ80" s="15" t="s">
        <v>62</v>
      </c>
      <c r="BK80" s="15" t="s">
        <v>63</v>
      </c>
      <c r="BL80" s="15" t="s">
        <v>64</v>
      </c>
      <c r="BM80" s="15" t="s">
        <v>65</v>
      </c>
      <c r="BN80" s="3" t="s">
        <v>66</v>
      </c>
      <c r="BO80" s="3"/>
      <c r="BP80" s="3"/>
      <c r="BQ80" s="15" t="s">
        <v>67</v>
      </c>
    </row>
    <row r="81" spans="1:69" s="1" customFormat="1" ht="24" customHeight="1">
      <c r="A81" s="16" t="s">
        <v>196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 t="s">
        <v>197</v>
      </c>
      <c r="N81" s="17"/>
      <c r="O81" s="17"/>
      <c r="P81" s="17" t="s">
        <v>70</v>
      </c>
      <c r="Q81" s="17"/>
      <c r="R81" s="17"/>
      <c r="S81" s="17"/>
      <c r="T81" s="17"/>
      <c r="U81" s="18">
        <f>38678200.02</f>
        <v>38678200.02</v>
      </c>
      <c r="V81" s="18"/>
      <c r="W81" s="18"/>
      <c r="X81" s="19" t="s">
        <v>71</v>
      </c>
      <c r="Y81" s="19"/>
      <c r="Z81" s="19"/>
      <c r="AA81" s="19"/>
      <c r="AB81" s="18">
        <f>38678200.02</f>
        <v>38678200.02</v>
      </c>
      <c r="AC81" s="18"/>
      <c r="AD81" s="18"/>
      <c r="AE81" s="20">
        <f>927481.67</f>
        <v>927481.67</v>
      </c>
      <c r="AF81" s="21" t="s">
        <v>71</v>
      </c>
      <c r="AG81" s="19" t="s">
        <v>71</v>
      </c>
      <c r="AH81" s="19"/>
      <c r="AI81" s="19"/>
      <c r="AJ81" s="19" t="s">
        <v>71</v>
      </c>
      <c r="AK81" s="19"/>
      <c r="AL81" s="19" t="s">
        <v>71</v>
      </c>
      <c r="AM81" s="19"/>
      <c r="AN81" s="19" t="s">
        <v>71</v>
      </c>
      <c r="AO81" s="19"/>
      <c r="AP81" s="19" t="s">
        <v>71</v>
      </c>
      <c r="AQ81" s="19"/>
      <c r="AR81" s="19"/>
      <c r="AS81" s="21" t="s">
        <v>71</v>
      </c>
      <c r="AT81" s="18">
        <f>39605681.69</f>
        <v>39605681.69</v>
      </c>
      <c r="AU81" s="18"/>
      <c r="AV81" s="18"/>
      <c r="AW81" s="19" t="s">
        <v>71</v>
      </c>
      <c r="AX81" s="19"/>
      <c r="AY81" s="18">
        <f>28771894.15</f>
        <v>28771894.15</v>
      </c>
      <c r="AZ81" s="18"/>
      <c r="BA81" s="19" t="s">
        <v>71</v>
      </c>
      <c r="BB81" s="19"/>
      <c r="BC81" s="19"/>
      <c r="BD81" s="18">
        <f>28771894.15</f>
        <v>28771894.15</v>
      </c>
      <c r="BE81" s="18"/>
      <c r="BF81" s="20">
        <f>906745.67</f>
        <v>906745.67</v>
      </c>
      <c r="BG81" s="21" t="s">
        <v>71</v>
      </c>
      <c r="BH81" s="21" t="s">
        <v>71</v>
      </c>
      <c r="BI81" s="21" t="s">
        <v>71</v>
      </c>
      <c r="BJ81" s="21" t="s">
        <v>71</v>
      </c>
      <c r="BK81" s="21" t="s">
        <v>71</v>
      </c>
      <c r="BL81" s="21" t="s">
        <v>71</v>
      </c>
      <c r="BM81" s="21" t="s">
        <v>71</v>
      </c>
      <c r="BN81" s="18">
        <f>29678639.82</f>
        <v>29678639.82</v>
      </c>
      <c r="BO81" s="18"/>
      <c r="BP81" s="18"/>
      <c r="BQ81" s="22" t="s">
        <v>71</v>
      </c>
    </row>
    <row r="82" spans="1:69" s="1" customFormat="1" ht="13.5" customHeight="1">
      <c r="A82" s="16" t="s">
        <v>198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197</v>
      </c>
      <c r="N82" s="23"/>
      <c r="O82" s="23"/>
      <c r="P82" s="31" t="s">
        <v>199</v>
      </c>
      <c r="Q82" s="31"/>
      <c r="R82" s="31"/>
      <c r="S82" s="31"/>
      <c r="T82" s="31"/>
      <c r="U82" s="24">
        <f>11821293</f>
        <v>11821293</v>
      </c>
      <c r="V82" s="24"/>
      <c r="W82" s="24"/>
      <c r="X82" s="25" t="s">
        <v>71</v>
      </c>
      <c r="Y82" s="25"/>
      <c r="Z82" s="25"/>
      <c r="AA82" s="25"/>
      <c r="AB82" s="24">
        <f>11821293</f>
        <v>11821293</v>
      </c>
      <c r="AC82" s="24"/>
      <c r="AD82" s="24"/>
      <c r="AE82" s="28">
        <f>152172</f>
        <v>152172</v>
      </c>
      <c r="AF82" s="26" t="s">
        <v>71</v>
      </c>
      <c r="AG82" s="25" t="s">
        <v>71</v>
      </c>
      <c r="AH82" s="25"/>
      <c r="AI82" s="25"/>
      <c r="AJ82" s="25" t="s">
        <v>71</v>
      </c>
      <c r="AK82" s="25"/>
      <c r="AL82" s="25" t="s">
        <v>71</v>
      </c>
      <c r="AM82" s="25"/>
      <c r="AN82" s="25" t="s">
        <v>71</v>
      </c>
      <c r="AO82" s="25"/>
      <c r="AP82" s="25" t="s">
        <v>71</v>
      </c>
      <c r="AQ82" s="25"/>
      <c r="AR82" s="25"/>
      <c r="AS82" s="26" t="s">
        <v>71</v>
      </c>
      <c r="AT82" s="24">
        <f>11973465</f>
        <v>11973465</v>
      </c>
      <c r="AU82" s="24"/>
      <c r="AV82" s="24"/>
      <c r="AW82" s="25" t="s">
        <v>71</v>
      </c>
      <c r="AX82" s="25"/>
      <c r="AY82" s="24">
        <f>7860357.47</f>
        <v>7860357.47</v>
      </c>
      <c r="AZ82" s="24"/>
      <c r="BA82" s="25" t="s">
        <v>71</v>
      </c>
      <c r="BB82" s="25"/>
      <c r="BC82" s="25"/>
      <c r="BD82" s="24">
        <f>7860357.47</f>
        <v>7860357.47</v>
      </c>
      <c r="BE82" s="24"/>
      <c r="BF82" s="28">
        <f>131436</f>
        <v>131436</v>
      </c>
      <c r="BG82" s="26" t="s">
        <v>71</v>
      </c>
      <c r="BH82" s="26" t="s">
        <v>71</v>
      </c>
      <c r="BI82" s="26" t="s">
        <v>71</v>
      </c>
      <c r="BJ82" s="26" t="s">
        <v>71</v>
      </c>
      <c r="BK82" s="26" t="s">
        <v>71</v>
      </c>
      <c r="BL82" s="26" t="s">
        <v>71</v>
      </c>
      <c r="BM82" s="26" t="s">
        <v>71</v>
      </c>
      <c r="BN82" s="24">
        <f>7991793.47</f>
        <v>7991793.47</v>
      </c>
      <c r="BO82" s="24"/>
      <c r="BP82" s="24"/>
      <c r="BQ82" s="27" t="s">
        <v>71</v>
      </c>
    </row>
    <row r="83" spans="1:69" s="1" customFormat="1" ht="33.75" customHeight="1">
      <c r="A83" s="16" t="s">
        <v>200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197</v>
      </c>
      <c r="N83" s="23"/>
      <c r="O83" s="23"/>
      <c r="P83" s="31" t="s">
        <v>201</v>
      </c>
      <c r="Q83" s="31"/>
      <c r="R83" s="31"/>
      <c r="S83" s="31"/>
      <c r="T83" s="31"/>
      <c r="U83" s="24">
        <f>958762</f>
        <v>958762</v>
      </c>
      <c r="V83" s="24"/>
      <c r="W83" s="24"/>
      <c r="X83" s="25" t="s">
        <v>71</v>
      </c>
      <c r="Y83" s="25"/>
      <c r="Z83" s="25"/>
      <c r="AA83" s="25"/>
      <c r="AB83" s="24">
        <f>958762</f>
        <v>958762</v>
      </c>
      <c r="AC83" s="24"/>
      <c r="AD83" s="24"/>
      <c r="AE83" s="26" t="s">
        <v>71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958762</f>
        <v>958762</v>
      </c>
      <c r="AU83" s="24"/>
      <c r="AV83" s="24"/>
      <c r="AW83" s="25" t="s">
        <v>71</v>
      </c>
      <c r="AX83" s="25"/>
      <c r="AY83" s="24">
        <f>741236.05</f>
        <v>741236.05</v>
      </c>
      <c r="AZ83" s="24"/>
      <c r="BA83" s="25" t="s">
        <v>71</v>
      </c>
      <c r="BB83" s="25"/>
      <c r="BC83" s="25"/>
      <c r="BD83" s="24">
        <f>741236.05</f>
        <v>741236.05</v>
      </c>
      <c r="BE83" s="24"/>
      <c r="BF83" s="26" t="s">
        <v>71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741236.05</f>
        <v>741236.05</v>
      </c>
      <c r="BO83" s="24"/>
      <c r="BP83" s="24"/>
      <c r="BQ83" s="27" t="s">
        <v>71</v>
      </c>
    </row>
    <row r="84" spans="1:69" s="1" customFormat="1" ht="54.75" customHeight="1">
      <c r="A84" s="16" t="s">
        <v>202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197</v>
      </c>
      <c r="N84" s="23"/>
      <c r="O84" s="23"/>
      <c r="P84" s="31" t="s">
        <v>203</v>
      </c>
      <c r="Q84" s="31"/>
      <c r="R84" s="31"/>
      <c r="S84" s="31"/>
      <c r="T84" s="31"/>
      <c r="U84" s="24">
        <f>958762</f>
        <v>958762</v>
      </c>
      <c r="V84" s="24"/>
      <c r="W84" s="24"/>
      <c r="X84" s="25" t="s">
        <v>71</v>
      </c>
      <c r="Y84" s="25"/>
      <c r="Z84" s="25"/>
      <c r="AA84" s="25"/>
      <c r="AB84" s="24">
        <f>958762</f>
        <v>958762</v>
      </c>
      <c r="AC84" s="24"/>
      <c r="AD84" s="24"/>
      <c r="AE84" s="26" t="s">
        <v>71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958762</f>
        <v>958762</v>
      </c>
      <c r="AU84" s="24"/>
      <c r="AV84" s="24"/>
      <c r="AW84" s="25" t="s">
        <v>71</v>
      </c>
      <c r="AX84" s="25"/>
      <c r="AY84" s="24">
        <f>741236.05</f>
        <v>741236.05</v>
      </c>
      <c r="AZ84" s="24"/>
      <c r="BA84" s="25" t="s">
        <v>71</v>
      </c>
      <c r="BB84" s="25"/>
      <c r="BC84" s="25"/>
      <c r="BD84" s="24">
        <f>741236.05</f>
        <v>741236.05</v>
      </c>
      <c r="BE84" s="24"/>
      <c r="BF84" s="26" t="s">
        <v>71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741236.05</f>
        <v>741236.05</v>
      </c>
      <c r="BO84" s="24"/>
      <c r="BP84" s="24"/>
      <c r="BQ84" s="27" t="s">
        <v>71</v>
      </c>
    </row>
    <row r="85" spans="1:69" s="1" customFormat="1" ht="24" customHeight="1">
      <c r="A85" s="16" t="s">
        <v>204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197</v>
      </c>
      <c r="N85" s="23"/>
      <c r="O85" s="23"/>
      <c r="P85" s="31" t="s">
        <v>205</v>
      </c>
      <c r="Q85" s="31"/>
      <c r="R85" s="31"/>
      <c r="S85" s="31"/>
      <c r="T85" s="31"/>
      <c r="U85" s="24">
        <f>958762</f>
        <v>958762</v>
      </c>
      <c r="V85" s="24"/>
      <c r="W85" s="24"/>
      <c r="X85" s="25" t="s">
        <v>71</v>
      </c>
      <c r="Y85" s="25"/>
      <c r="Z85" s="25"/>
      <c r="AA85" s="25"/>
      <c r="AB85" s="24">
        <f>958762</f>
        <v>958762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958762</f>
        <v>958762</v>
      </c>
      <c r="AU85" s="24"/>
      <c r="AV85" s="24"/>
      <c r="AW85" s="25" t="s">
        <v>71</v>
      </c>
      <c r="AX85" s="25"/>
      <c r="AY85" s="24">
        <f>741236.05</f>
        <v>741236.05</v>
      </c>
      <c r="AZ85" s="24"/>
      <c r="BA85" s="25" t="s">
        <v>71</v>
      </c>
      <c r="BB85" s="25"/>
      <c r="BC85" s="25"/>
      <c r="BD85" s="24">
        <f>741236.05</f>
        <v>741236.05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741236.05</f>
        <v>741236.05</v>
      </c>
      <c r="BO85" s="24"/>
      <c r="BP85" s="24"/>
      <c r="BQ85" s="27" t="s">
        <v>71</v>
      </c>
    </row>
    <row r="86" spans="1:69" s="1" customFormat="1" ht="24" customHeight="1">
      <c r="A86" s="16" t="s">
        <v>206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197</v>
      </c>
      <c r="N86" s="23"/>
      <c r="O86" s="23"/>
      <c r="P86" s="31" t="s">
        <v>207</v>
      </c>
      <c r="Q86" s="31"/>
      <c r="R86" s="31"/>
      <c r="S86" s="31"/>
      <c r="T86" s="31"/>
      <c r="U86" s="24">
        <f>745422</f>
        <v>745422</v>
      </c>
      <c r="V86" s="24"/>
      <c r="W86" s="24"/>
      <c r="X86" s="25" t="s">
        <v>71</v>
      </c>
      <c r="Y86" s="25"/>
      <c r="Z86" s="25"/>
      <c r="AA86" s="25"/>
      <c r="AB86" s="24">
        <f>745422</f>
        <v>745422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745422</f>
        <v>745422</v>
      </c>
      <c r="AU86" s="24"/>
      <c r="AV86" s="24"/>
      <c r="AW86" s="25" t="s">
        <v>71</v>
      </c>
      <c r="AX86" s="25"/>
      <c r="AY86" s="24">
        <f>591184.05</f>
        <v>591184.05</v>
      </c>
      <c r="AZ86" s="24"/>
      <c r="BA86" s="25" t="s">
        <v>71</v>
      </c>
      <c r="BB86" s="25"/>
      <c r="BC86" s="25"/>
      <c r="BD86" s="24">
        <f>591184.05</f>
        <v>591184.05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591184.05</f>
        <v>591184.05</v>
      </c>
      <c r="BO86" s="24"/>
      <c r="BP86" s="24"/>
      <c r="BQ86" s="27" t="s">
        <v>71</v>
      </c>
    </row>
    <row r="87" spans="1:69" s="1" customFormat="1" ht="33.75" customHeight="1">
      <c r="A87" s="16" t="s">
        <v>208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197</v>
      </c>
      <c r="N87" s="23"/>
      <c r="O87" s="23"/>
      <c r="P87" s="31" t="s">
        <v>209</v>
      </c>
      <c r="Q87" s="31"/>
      <c r="R87" s="31"/>
      <c r="S87" s="31"/>
      <c r="T87" s="31"/>
      <c r="U87" s="24">
        <f>213340</f>
        <v>213340</v>
      </c>
      <c r="V87" s="24"/>
      <c r="W87" s="24"/>
      <c r="X87" s="25" t="s">
        <v>71</v>
      </c>
      <c r="Y87" s="25"/>
      <c r="Z87" s="25"/>
      <c r="AA87" s="25"/>
      <c r="AB87" s="24">
        <f>213340</f>
        <v>213340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213340</f>
        <v>213340</v>
      </c>
      <c r="AU87" s="24"/>
      <c r="AV87" s="24"/>
      <c r="AW87" s="25" t="s">
        <v>71</v>
      </c>
      <c r="AX87" s="25"/>
      <c r="AY87" s="24">
        <f>150052</f>
        <v>150052</v>
      </c>
      <c r="AZ87" s="24"/>
      <c r="BA87" s="25" t="s">
        <v>71</v>
      </c>
      <c r="BB87" s="25"/>
      <c r="BC87" s="25"/>
      <c r="BD87" s="24">
        <f>150052</f>
        <v>150052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150052</f>
        <v>150052</v>
      </c>
      <c r="BO87" s="24"/>
      <c r="BP87" s="24"/>
      <c r="BQ87" s="27" t="s">
        <v>71</v>
      </c>
    </row>
    <row r="88" spans="1:69" s="1" customFormat="1" ht="45" customHeight="1">
      <c r="A88" s="16" t="s">
        <v>210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197</v>
      </c>
      <c r="N88" s="23"/>
      <c r="O88" s="23"/>
      <c r="P88" s="31" t="s">
        <v>211</v>
      </c>
      <c r="Q88" s="31"/>
      <c r="R88" s="31"/>
      <c r="S88" s="31"/>
      <c r="T88" s="31"/>
      <c r="U88" s="24">
        <f>5486066</f>
        <v>5486066</v>
      </c>
      <c r="V88" s="24"/>
      <c r="W88" s="24"/>
      <c r="X88" s="25" t="s">
        <v>71</v>
      </c>
      <c r="Y88" s="25"/>
      <c r="Z88" s="25"/>
      <c r="AA88" s="25"/>
      <c r="AB88" s="24">
        <f>5486066</f>
        <v>5486066</v>
      </c>
      <c r="AC88" s="24"/>
      <c r="AD88" s="24"/>
      <c r="AE88" s="28">
        <f>77760</f>
        <v>77760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5563826</f>
        <v>5563826</v>
      </c>
      <c r="AU88" s="24"/>
      <c r="AV88" s="24"/>
      <c r="AW88" s="25" t="s">
        <v>71</v>
      </c>
      <c r="AX88" s="25"/>
      <c r="AY88" s="24">
        <f>3679588.79</f>
        <v>3679588.79</v>
      </c>
      <c r="AZ88" s="24"/>
      <c r="BA88" s="25" t="s">
        <v>71</v>
      </c>
      <c r="BB88" s="25"/>
      <c r="BC88" s="25"/>
      <c r="BD88" s="24">
        <f>3679588.79</f>
        <v>3679588.79</v>
      </c>
      <c r="BE88" s="24"/>
      <c r="BF88" s="28">
        <f>57024</f>
        <v>57024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3736612.79</f>
        <v>3736612.79</v>
      </c>
      <c r="BO88" s="24"/>
      <c r="BP88" s="24"/>
      <c r="BQ88" s="27" t="s">
        <v>71</v>
      </c>
    </row>
    <row r="89" spans="1:69" s="1" customFormat="1" ht="54.75" customHeight="1">
      <c r="A89" s="16" t="s">
        <v>202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197</v>
      </c>
      <c r="N89" s="23"/>
      <c r="O89" s="23"/>
      <c r="P89" s="31" t="s">
        <v>212</v>
      </c>
      <c r="Q89" s="31"/>
      <c r="R89" s="31"/>
      <c r="S89" s="31"/>
      <c r="T89" s="31"/>
      <c r="U89" s="24">
        <f>4030590</f>
        <v>4030590</v>
      </c>
      <c r="V89" s="24"/>
      <c r="W89" s="24"/>
      <c r="X89" s="25" t="s">
        <v>71</v>
      </c>
      <c r="Y89" s="25"/>
      <c r="Z89" s="25"/>
      <c r="AA89" s="25"/>
      <c r="AB89" s="24">
        <f>4030590</f>
        <v>4030590</v>
      </c>
      <c r="AC89" s="24"/>
      <c r="AD89" s="24"/>
      <c r="AE89" s="26" t="s">
        <v>71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4030590</f>
        <v>4030590</v>
      </c>
      <c r="AU89" s="24"/>
      <c r="AV89" s="24"/>
      <c r="AW89" s="25" t="s">
        <v>71</v>
      </c>
      <c r="AX89" s="25"/>
      <c r="AY89" s="24">
        <f>2966199.33</f>
        <v>2966199.33</v>
      </c>
      <c r="AZ89" s="24"/>
      <c r="BA89" s="25" t="s">
        <v>71</v>
      </c>
      <c r="BB89" s="25"/>
      <c r="BC89" s="25"/>
      <c r="BD89" s="24">
        <f>2966199.33</f>
        <v>2966199.33</v>
      </c>
      <c r="BE89" s="24"/>
      <c r="BF89" s="26" t="s">
        <v>71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2966199.33</f>
        <v>2966199.33</v>
      </c>
      <c r="BO89" s="24"/>
      <c r="BP89" s="24"/>
      <c r="BQ89" s="27" t="s">
        <v>71</v>
      </c>
    </row>
    <row r="90" spans="1:69" s="1" customFormat="1" ht="24" customHeight="1">
      <c r="A90" s="16" t="s">
        <v>204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197</v>
      </c>
      <c r="N90" s="23"/>
      <c r="O90" s="23"/>
      <c r="P90" s="31" t="s">
        <v>213</v>
      </c>
      <c r="Q90" s="31"/>
      <c r="R90" s="31"/>
      <c r="S90" s="31"/>
      <c r="T90" s="31"/>
      <c r="U90" s="24">
        <f>4030590</f>
        <v>4030590</v>
      </c>
      <c r="V90" s="24"/>
      <c r="W90" s="24"/>
      <c r="X90" s="25" t="s">
        <v>71</v>
      </c>
      <c r="Y90" s="25"/>
      <c r="Z90" s="25"/>
      <c r="AA90" s="25"/>
      <c r="AB90" s="24">
        <f>4030590</f>
        <v>4030590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4030590</f>
        <v>4030590</v>
      </c>
      <c r="AU90" s="24"/>
      <c r="AV90" s="24"/>
      <c r="AW90" s="25" t="s">
        <v>71</v>
      </c>
      <c r="AX90" s="25"/>
      <c r="AY90" s="24">
        <f>2966199.33</f>
        <v>2966199.33</v>
      </c>
      <c r="AZ90" s="24"/>
      <c r="BA90" s="25" t="s">
        <v>71</v>
      </c>
      <c r="BB90" s="25"/>
      <c r="BC90" s="25"/>
      <c r="BD90" s="24">
        <f>2966199.33</f>
        <v>2966199.33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2966199.33</f>
        <v>2966199.33</v>
      </c>
      <c r="BO90" s="24"/>
      <c r="BP90" s="24"/>
      <c r="BQ90" s="27" t="s">
        <v>71</v>
      </c>
    </row>
    <row r="91" spans="1:69" s="1" customFormat="1" ht="24" customHeight="1">
      <c r="A91" s="16" t="s">
        <v>206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197</v>
      </c>
      <c r="N91" s="23"/>
      <c r="O91" s="23"/>
      <c r="P91" s="31" t="s">
        <v>214</v>
      </c>
      <c r="Q91" s="31"/>
      <c r="R91" s="31"/>
      <c r="S91" s="31"/>
      <c r="T91" s="31"/>
      <c r="U91" s="24">
        <f>3080330</f>
        <v>3080330</v>
      </c>
      <c r="V91" s="24"/>
      <c r="W91" s="24"/>
      <c r="X91" s="25" t="s">
        <v>71</v>
      </c>
      <c r="Y91" s="25"/>
      <c r="Z91" s="25"/>
      <c r="AA91" s="25"/>
      <c r="AB91" s="24">
        <f>3080330</f>
        <v>3080330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3080330</f>
        <v>3080330</v>
      </c>
      <c r="AU91" s="24"/>
      <c r="AV91" s="24"/>
      <c r="AW91" s="25" t="s">
        <v>71</v>
      </c>
      <c r="AX91" s="25"/>
      <c r="AY91" s="24">
        <f>2303985.99</f>
        <v>2303985.99</v>
      </c>
      <c r="AZ91" s="24"/>
      <c r="BA91" s="25" t="s">
        <v>71</v>
      </c>
      <c r="BB91" s="25"/>
      <c r="BC91" s="25"/>
      <c r="BD91" s="24">
        <f>2303985.99</f>
        <v>2303985.99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2303985.99</f>
        <v>2303985.99</v>
      </c>
      <c r="BO91" s="24"/>
      <c r="BP91" s="24"/>
      <c r="BQ91" s="27" t="s">
        <v>71</v>
      </c>
    </row>
    <row r="92" spans="1:69" s="1" customFormat="1" ht="33.75" customHeight="1">
      <c r="A92" s="16" t="s">
        <v>215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197</v>
      </c>
      <c r="N92" s="23"/>
      <c r="O92" s="23"/>
      <c r="P92" s="31" t="s">
        <v>216</v>
      </c>
      <c r="Q92" s="31"/>
      <c r="R92" s="31"/>
      <c r="S92" s="31"/>
      <c r="T92" s="31"/>
      <c r="U92" s="24">
        <f>20000</f>
        <v>20000</v>
      </c>
      <c r="V92" s="24"/>
      <c r="W92" s="24"/>
      <c r="X92" s="25" t="s">
        <v>71</v>
      </c>
      <c r="Y92" s="25"/>
      <c r="Z92" s="25"/>
      <c r="AA92" s="25"/>
      <c r="AB92" s="24">
        <f>20000</f>
        <v>20000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20000</f>
        <v>20000</v>
      </c>
      <c r="AU92" s="24"/>
      <c r="AV92" s="24"/>
      <c r="AW92" s="25" t="s">
        <v>71</v>
      </c>
      <c r="AX92" s="25"/>
      <c r="AY92" s="25" t="s">
        <v>71</v>
      </c>
      <c r="AZ92" s="25"/>
      <c r="BA92" s="25" t="s">
        <v>71</v>
      </c>
      <c r="BB92" s="25"/>
      <c r="BC92" s="25"/>
      <c r="BD92" s="25" t="s">
        <v>71</v>
      </c>
      <c r="BE92" s="25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5" t="s">
        <v>71</v>
      </c>
      <c r="BO92" s="25"/>
      <c r="BP92" s="25"/>
      <c r="BQ92" s="27" t="s">
        <v>71</v>
      </c>
    </row>
    <row r="93" spans="1:69" s="1" customFormat="1" ht="33.75" customHeight="1">
      <c r="A93" s="16" t="s">
        <v>208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197</v>
      </c>
      <c r="N93" s="23"/>
      <c r="O93" s="23"/>
      <c r="P93" s="31" t="s">
        <v>217</v>
      </c>
      <c r="Q93" s="31"/>
      <c r="R93" s="31"/>
      <c r="S93" s="31"/>
      <c r="T93" s="31"/>
      <c r="U93" s="24">
        <f>930260</f>
        <v>930260</v>
      </c>
      <c r="V93" s="24"/>
      <c r="W93" s="24"/>
      <c r="X93" s="25" t="s">
        <v>71</v>
      </c>
      <c r="Y93" s="25"/>
      <c r="Z93" s="25"/>
      <c r="AA93" s="25"/>
      <c r="AB93" s="24">
        <f>930260</f>
        <v>930260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930260</f>
        <v>930260</v>
      </c>
      <c r="AU93" s="24"/>
      <c r="AV93" s="24"/>
      <c r="AW93" s="25" t="s">
        <v>71</v>
      </c>
      <c r="AX93" s="25"/>
      <c r="AY93" s="24">
        <f>662213.34</f>
        <v>662213.34</v>
      </c>
      <c r="AZ93" s="24"/>
      <c r="BA93" s="25" t="s">
        <v>71</v>
      </c>
      <c r="BB93" s="25"/>
      <c r="BC93" s="25"/>
      <c r="BD93" s="24">
        <f>662213.34</f>
        <v>662213.34</v>
      </c>
      <c r="BE93" s="24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4">
        <f>662213.34</f>
        <v>662213.34</v>
      </c>
      <c r="BO93" s="24"/>
      <c r="BP93" s="24"/>
      <c r="BQ93" s="27" t="s">
        <v>71</v>
      </c>
    </row>
    <row r="94" spans="1:69" s="1" customFormat="1" ht="24" customHeight="1">
      <c r="A94" s="16" t="s">
        <v>218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197</v>
      </c>
      <c r="N94" s="23"/>
      <c r="O94" s="23"/>
      <c r="P94" s="31" t="s">
        <v>219</v>
      </c>
      <c r="Q94" s="31"/>
      <c r="R94" s="31"/>
      <c r="S94" s="31"/>
      <c r="T94" s="31"/>
      <c r="U94" s="24">
        <f>1336276</f>
        <v>1336276</v>
      </c>
      <c r="V94" s="24"/>
      <c r="W94" s="24"/>
      <c r="X94" s="25" t="s">
        <v>71</v>
      </c>
      <c r="Y94" s="25"/>
      <c r="Z94" s="25"/>
      <c r="AA94" s="25"/>
      <c r="AB94" s="24">
        <f>1336276</f>
        <v>1336276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1336276</f>
        <v>1336276</v>
      </c>
      <c r="AU94" s="24"/>
      <c r="AV94" s="24"/>
      <c r="AW94" s="25" t="s">
        <v>71</v>
      </c>
      <c r="AX94" s="25"/>
      <c r="AY94" s="24">
        <f>661389.46</f>
        <v>661389.46</v>
      </c>
      <c r="AZ94" s="24"/>
      <c r="BA94" s="25" t="s">
        <v>71</v>
      </c>
      <c r="BB94" s="25"/>
      <c r="BC94" s="25"/>
      <c r="BD94" s="24">
        <f>661389.46</f>
        <v>661389.46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661389.46</f>
        <v>661389.46</v>
      </c>
      <c r="BO94" s="24"/>
      <c r="BP94" s="24"/>
      <c r="BQ94" s="27" t="s">
        <v>71</v>
      </c>
    </row>
    <row r="95" spans="1:69" s="1" customFormat="1" ht="24" customHeight="1">
      <c r="A95" s="16" t="s">
        <v>220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197</v>
      </c>
      <c r="N95" s="23"/>
      <c r="O95" s="23"/>
      <c r="P95" s="31" t="s">
        <v>221</v>
      </c>
      <c r="Q95" s="31"/>
      <c r="R95" s="31"/>
      <c r="S95" s="31"/>
      <c r="T95" s="31"/>
      <c r="U95" s="24">
        <f>1336276</f>
        <v>1336276</v>
      </c>
      <c r="V95" s="24"/>
      <c r="W95" s="24"/>
      <c r="X95" s="25" t="s">
        <v>71</v>
      </c>
      <c r="Y95" s="25"/>
      <c r="Z95" s="25"/>
      <c r="AA95" s="25"/>
      <c r="AB95" s="24">
        <f>1336276</f>
        <v>1336276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1336276</f>
        <v>1336276</v>
      </c>
      <c r="AU95" s="24"/>
      <c r="AV95" s="24"/>
      <c r="AW95" s="25" t="s">
        <v>71</v>
      </c>
      <c r="AX95" s="25"/>
      <c r="AY95" s="24">
        <f>661389.46</f>
        <v>661389.46</v>
      </c>
      <c r="AZ95" s="24"/>
      <c r="BA95" s="25" t="s">
        <v>71</v>
      </c>
      <c r="BB95" s="25"/>
      <c r="BC95" s="25"/>
      <c r="BD95" s="24">
        <f>661389.46</f>
        <v>661389.46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661389.46</f>
        <v>661389.46</v>
      </c>
      <c r="BO95" s="24"/>
      <c r="BP95" s="24"/>
      <c r="BQ95" s="27" t="s">
        <v>71</v>
      </c>
    </row>
    <row r="96" spans="1:69" s="1" customFormat="1" ht="13.5" customHeight="1">
      <c r="A96" s="16" t="s">
        <v>222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197</v>
      </c>
      <c r="N96" s="23"/>
      <c r="O96" s="23"/>
      <c r="P96" s="31" t="s">
        <v>223</v>
      </c>
      <c r="Q96" s="31"/>
      <c r="R96" s="31"/>
      <c r="S96" s="31"/>
      <c r="T96" s="31"/>
      <c r="U96" s="24">
        <f>1336276</f>
        <v>1336276</v>
      </c>
      <c r="V96" s="24"/>
      <c r="W96" s="24"/>
      <c r="X96" s="25" t="s">
        <v>71</v>
      </c>
      <c r="Y96" s="25"/>
      <c r="Z96" s="25"/>
      <c r="AA96" s="25"/>
      <c r="AB96" s="24">
        <f>1336276</f>
        <v>1336276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1336276</f>
        <v>1336276</v>
      </c>
      <c r="AU96" s="24"/>
      <c r="AV96" s="24"/>
      <c r="AW96" s="25" t="s">
        <v>71</v>
      </c>
      <c r="AX96" s="25"/>
      <c r="AY96" s="24">
        <f>661389.46</f>
        <v>661389.46</v>
      </c>
      <c r="AZ96" s="24"/>
      <c r="BA96" s="25" t="s">
        <v>71</v>
      </c>
      <c r="BB96" s="25"/>
      <c r="BC96" s="25"/>
      <c r="BD96" s="24">
        <f>661389.46</f>
        <v>661389.46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661389.46</f>
        <v>661389.46</v>
      </c>
      <c r="BO96" s="24"/>
      <c r="BP96" s="24"/>
      <c r="BQ96" s="27" t="s">
        <v>71</v>
      </c>
    </row>
    <row r="97" spans="1:69" s="1" customFormat="1" ht="13.5" customHeight="1">
      <c r="A97" s="16" t="s">
        <v>224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197</v>
      </c>
      <c r="N97" s="23"/>
      <c r="O97" s="23"/>
      <c r="P97" s="31" t="s">
        <v>225</v>
      </c>
      <c r="Q97" s="31"/>
      <c r="R97" s="31"/>
      <c r="S97" s="31"/>
      <c r="T97" s="31"/>
      <c r="U97" s="24">
        <f>0</f>
        <v>0</v>
      </c>
      <c r="V97" s="24"/>
      <c r="W97" s="24"/>
      <c r="X97" s="25" t="s">
        <v>71</v>
      </c>
      <c r="Y97" s="25"/>
      <c r="Z97" s="25"/>
      <c r="AA97" s="25"/>
      <c r="AB97" s="24">
        <f>0</f>
        <v>0</v>
      </c>
      <c r="AC97" s="24"/>
      <c r="AD97" s="24"/>
      <c r="AE97" s="28">
        <f>77760</f>
        <v>77760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77760</f>
        <v>77760</v>
      </c>
      <c r="AU97" s="24"/>
      <c r="AV97" s="24"/>
      <c r="AW97" s="25" t="s">
        <v>71</v>
      </c>
      <c r="AX97" s="25"/>
      <c r="AY97" s="24">
        <f>0</f>
        <v>0</v>
      </c>
      <c r="AZ97" s="24"/>
      <c r="BA97" s="25" t="s">
        <v>71</v>
      </c>
      <c r="BB97" s="25"/>
      <c r="BC97" s="25"/>
      <c r="BD97" s="24">
        <f>0</f>
        <v>0</v>
      </c>
      <c r="BE97" s="24"/>
      <c r="BF97" s="28">
        <f>57024</f>
        <v>57024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57024</f>
        <v>57024</v>
      </c>
      <c r="BO97" s="24"/>
      <c r="BP97" s="24"/>
      <c r="BQ97" s="27" t="s">
        <v>71</v>
      </c>
    </row>
    <row r="98" spans="1:69" s="1" customFormat="1" ht="13.5" customHeight="1">
      <c r="A98" s="16" t="s">
        <v>226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197</v>
      </c>
      <c r="N98" s="23"/>
      <c r="O98" s="23"/>
      <c r="P98" s="31" t="s">
        <v>227</v>
      </c>
      <c r="Q98" s="31"/>
      <c r="R98" s="31"/>
      <c r="S98" s="31"/>
      <c r="T98" s="31"/>
      <c r="U98" s="24">
        <f>0</f>
        <v>0</v>
      </c>
      <c r="V98" s="24"/>
      <c r="W98" s="24"/>
      <c r="X98" s="25" t="s">
        <v>71</v>
      </c>
      <c r="Y98" s="25"/>
      <c r="Z98" s="25"/>
      <c r="AA98" s="25"/>
      <c r="AB98" s="24">
        <f>0</f>
        <v>0</v>
      </c>
      <c r="AC98" s="24"/>
      <c r="AD98" s="24"/>
      <c r="AE98" s="28">
        <f>77760</f>
        <v>77760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77760</f>
        <v>77760</v>
      </c>
      <c r="AU98" s="24"/>
      <c r="AV98" s="24"/>
      <c r="AW98" s="25" t="s">
        <v>71</v>
      </c>
      <c r="AX98" s="25"/>
      <c r="AY98" s="24">
        <f>0</f>
        <v>0</v>
      </c>
      <c r="AZ98" s="24"/>
      <c r="BA98" s="25" t="s">
        <v>71</v>
      </c>
      <c r="BB98" s="25"/>
      <c r="BC98" s="25"/>
      <c r="BD98" s="24">
        <f>0</f>
        <v>0</v>
      </c>
      <c r="BE98" s="24"/>
      <c r="BF98" s="28">
        <f>57024</f>
        <v>57024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57024</f>
        <v>57024</v>
      </c>
      <c r="BO98" s="24"/>
      <c r="BP98" s="24"/>
      <c r="BQ98" s="27" t="s">
        <v>71</v>
      </c>
    </row>
    <row r="99" spans="1:69" s="1" customFormat="1" ht="13.5" customHeight="1">
      <c r="A99" s="16" t="s">
        <v>228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197</v>
      </c>
      <c r="N99" s="23"/>
      <c r="O99" s="23"/>
      <c r="P99" s="31" t="s">
        <v>229</v>
      </c>
      <c r="Q99" s="31"/>
      <c r="R99" s="31"/>
      <c r="S99" s="31"/>
      <c r="T99" s="31"/>
      <c r="U99" s="24">
        <f>119200</f>
        <v>119200</v>
      </c>
      <c r="V99" s="24"/>
      <c r="W99" s="24"/>
      <c r="X99" s="25" t="s">
        <v>71</v>
      </c>
      <c r="Y99" s="25"/>
      <c r="Z99" s="25"/>
      <c r="AA99" s="25"/>
      <c r="AB99" s="24">
        <f>119200</f>
        <v>119200</v>
      </c>
      <c r="AC99" s="24"/>
      <c r="AD99" s="24"/>
      <c r="AE99" s="26" t="s">
        <v>71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119200</f>
        <v>119200</v>
      </c>
      <c r="AU99" s="24"/>
      <c r="AV99" s="24"/>
      <c r="AW99" s="25" t="s">
        <v>71</v>
      </c>
      <c r="AX99" s="25"/>
      <c r="AY99" s="24">
        <f>52000</f>
        <v>52000</v>
      </c>
      <c r="AZ99" s="24"/>
      <c r="BA99" s="25" t="s">
        <v>71</v>
      </c>
      <c r="BB99" s="25"/>
      <c r="BC99" s="25"/>
      <c r="BD99" s="24">
        <f>52000</f>
        <v>52000</v>
      </c>
      <c r="BE99" s="24"/>
      <c r="BF99" s="26" t="s">
        <v>71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52000</f>
        <v>52000</v>
      </c>
      <c r="BO99" s="24"/>
      <c r="BP99" s="24"/>
      <c r="BQ99" s="27" t="s">
        <v>71</v>
      </c>
    </row>
    <row r="100" spans="1:69" s="1" customFormat="1" ht="13.5" customHeight="1">
      <c r="A100" s="16" t="s">
        <v>230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197</v>
      </c>
      <c r="N100" s="23"/>
      <c r="O100" s="23"/>
      <c r="P100" s="31" t="s">
        <v>231</v>
      </c>
      <c r="Q100" s="31"/>
      <c r="R100" s="31"/>
      <c r="S100" s="31"/>
      <c r="T100" s="31"/>
      <c r="U100" s="24">
        <f>119200</f>
        <v>119200</v>
      </c>
      <c r="V100" s="24"/>
      <c r="W100" s="24"/>
      <c r="X100" s="25" t="s">
        <v>71</v>
      </c>
      <c r="Y100" s="25"/>
      <c r="Z100" s="25"/>
      <c r="AA100" s="25"/>
      <c r="AB100" s="24">
        <f>119200</f>
        <v>119200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119200</f>
        <v>119200</v>
      </c>
      <c r="AU100" s="24"/>
      <c r="AV100" s="24"/>
      <c r="AW100" s="25" t="s">
        <v>71</v>
      </c>
      <c r="AX100" s="25"/>
      <c r="AY100" s="24">
        <f>52000</f>
        <v>52000</v>
      </c>
      <c r="AZ100" s="24"/>
      <c r="BA100" s="25" t="s">
        <v>71</v>
      </c>
      <c r="BB100" s="25"/>
      <c r="BC100" s="25"/>
      <c r="BD100" s="24">
        <f>52000</f>
        <v>52000</v>
      </c>
      <c r="BE100" s="24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52000</f>
        <v>52000</v>
      </c>
      <c r="BO100" s="24"/>
      <c r="BP100" s="24"/>
      <c r="BQ100" s="27" t="s">
        <v>71</v>
      </c>
    </row>
    <row r="101" spans="1:69" s="1" customFormat="1" ht="24" customHeight="1">
      <c r="A101" s="16" t="s">
        <v>232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197</v>
      </c>
      <c r="N101" s="23"/>
      <c r="O101" s="23"/>
      <c r="P101" s="31" t="s">
        <v>233</v>
      </c>
      <c r="Q101" s="31"/>
      <c r="R101" s="31"/>
      <c r="S101" s="31"/>
      <c r="T101" s="31"/>
      <c r="U101" s="24">
        <f>118000</f>
        <v>118000</v>
      </c>
      <c r="V101" s="24"/>
      <c r="W101" s="24"/>
      <c r="X101" s="25" t="s">
        <v>71</v>
      </c>
      <c r="Y101" s="25"/>
      <c r="Z101" s="25"/>
      <c r="AA101" s="25"/>
      <c r="AB101" s="24">
        <f>118000</f>
        <v>118000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118000</f>
        <v>118000</v>
      </c>
      <c r="AU101" s="24"/>
      <c r="AV101" s="24"/>
      <c r="AW101" s="25" t="s">
        <v>71</v>
      </c>
      <c r="AX101" s="25"/>
      <c r="AY101" s="24">
        <f>52000</f>
        <v>52000</v>
      </c>
      <c r="AZ101" s="24"/>
      <c r="BA101" s="25" t="s">
        <v>71</v>
      </c>
      <c r="BB101" s="25"/>
      <c r="BC101" s="25"/>
      <c r="BD101" s="24">
        <f>52000</f>
        <v>52000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52000</f>
        <v>52000</v>
      </c>
      <c r="BO101" s="24"/>
      <c r="BP101" s="24"/>
      <c r="BQ101" s="27" t="s">
        <v>71</v>
      </c>
    </row>
    <row r="102" spans="1:69" s="1" customFormat="1" ht="13.5" customHeight="1">
      <c r="A102" s="16" t="s">
        <v>234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197</v>
      </c>
      <c r="N102" s="23"/>
      <c r="O102" s="23"/>
      <c r="P102" s="31" t="s">
        <v>235</v>
      </c>
      <c r="Q102" s="31"/>
      <c r="R102" s="31"/>
      <c r="S102" s="31"/>
      <c r="T102" s="31"/>
      <c r="U102" s="24">
        <f>1000</f>
        <v>1000</v>
      </c>
      <c r="V102" s="24"/>
      <c r="W102" s="24"/>
      <c r="X102" s="25" t="s">
        <v>71</v>
      </c>
      <c r="Y102" s="25"/>
      <c r="Z102" s="25"/>
      <c r="AA102" s="25"/>
      <c r="AB102" s="24">
        <f>1000</f>
        <v>1000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1000</f>
        <v>1000</v>
      </c>
      <c r="AU102" s="24"/>
      <c r="AV102" s="24"/>
      <c r="AW102" s="25" t="s">
        <v>71</v>
      </c>
      <c r="AX102" s="25"/>
      <c r="AY102" s="25" t="s">
        <v>71</v>
      </c>
      <c r="AZ102" s="25"/>
      <c r="BA102" s="25" t="s">
        <v>71</v>
      </c>
      <c r="BB102" s="25"/>
      <c r="BC102" s="25"/>
      <c r="BD102" s="25" t="s">
        <v>71</v>
      </c>
      <c r="BE102" s="25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5" t="s">
        <v>71</v>
      </c>
      <c r="BO102" s="25"/>
      <c r="BP102" s="25"/>
      <c r="BQ102" s="27" t="s">
        <v>71</v>
      </c>
    </row>
    <row r="103" spans="1:69" s="1" customFormat="1" ht="13.5" customHeight="1">
      <c r="A103" s="16" t="s">
        <v>236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197</v>
      </c>
      <c r="N103" s="23"/>
      <c r="O103" s="23"/>
      <c r="P103" s="31" t="s">
        <v>237</v>
      </c>
      <c r="Q103" s="31"/>
      <c r="R103" s="31"/>
      <c r="S103" s="31"/>
      <c r="T103" s="31"/>
      <c r="U103" s="24">
        <f>200</f>
        <v>200</v>
      </c>
      <c r="V103" s="24"/>
      <c r="W103" s="24"/>
      <c r="X103" s="25" t="s">
        <v>71</v>
      </c>
      <c r="Y103" s="25"/>
      <c r="Z103" s="25"/>
      <c r="AA103" s="25"/>
      <c r="AB103" s="24">
        <f>200</f>
        <v>200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200</f>
        <v>200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33.75" customHeight="1">
      <c r="A104" s="16" t="s">
        <v>238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197</v>
      </c>
      <c r="N104" s="23"/>
      <c r="O104" s="23"/>
      <c r="P104" s="31" t="s">
        <v>239</v>
      </c>
      <c r="Q104" s="31"/>
      <c r="R104" s="31"/>
      <c r="S104" s="31"/>
      <c r="T104" s="31"/>
      <c r="U104" s="24">
        <f>0</f>
        <v>0</v>
      </c>
      <c r="V104" s="24"/>
      <c r="W104" s="24"/>
      <c r="X104" s="25" t="s">
        <v>71</v>
      </c>
      <c r="Y104" s="25"/>
      <c r="Z104" s="25"/>
      <c r="AA104" s="25"/>
      <c r="AB104" s="24">
        <f>0</f>
        <v>0</v>
      </c>
      <c r="AC104" s="24"/>
      <c r="AD104" s="24"/>
      <c r="AE104" s="28">
        <f>74412</f>
        <v>74412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74412</f>
        <v>74412</v>
      </c>
      <c r="AU104" s="24"/>
      <c r="AV104" s="24"/>
      <c r="AW104" s="25" t="s">
        <v>71</v>
      </c>
      <c r="AX104" s="25"/>
      <c r="AY104" s="24">
        <f>0</f>
        <v>0</v>
      </c>
      <c r="AZ104" s="24"/>
      <c r="BA104" s="25" t="s">
        <v>71</v>
      </c>
      <c r="BB104" s="25"/>
      <c r="BC104" s="25"/>
      <c r="BD104" s="24">
        <f>0</f>
        <v>0</v>
      </c>
      <c r="BE104" s="24"/>
      <c r="BF104" s="28">
        <f>74412</f>
        <v>74412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4">
        <f>74412</f>
        <v>74412</v>
      </c>
      <c r="BO104" s="24"/>
      <c r="BP104" s="24"/>
      <c r="BQ104" s="27" t="s">
        <v>71</v>
      </c>
    </row>
    <row r="105" spans="1:69" s="1" customFormat="1" ht="13.5" customHeight="1">
      <c r="A105" s="16" t="s">
        <v>224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197</v>
      </c>
      <c r="N105" s="23"/>
      <c r="O105" s="23"/>
      <c r="P105" s="31" t="s">
        <v>240</v>
      </c>
      <c r="Q105" s="31"/>
      <c r="R105" s="31"/>
      <c r="S105" s="31"/>
      <c r="T105" s="31"/>
      <c r="U105" s="24">
        <f>0</f>
        <v>0</v>
      </c>
      <c r="V105" s="24"/>
      <c r="W105" s="24"/>
      <c r="X105" s="25" t="s">
        <v>71</v>
      </c>
      <c r="Y105" s="25"/>
      <c r="Z105" s="25"/>
      <c r="AA105" s="25"/>
      <c r="AB105" s="24">
        <f>0</f>
        <v>0</v>
      </c>
      <c r="AC105" s="24"/>
      <c r="AD105" s="24"/>
      <c r="AE105" s="28">
        <f>74412</f>
        <v>74412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74412</f>
        <v>74412</v>
      </c>
      <c r="AU105" s="24"/>
      <c r="AV105" s="24"/>
      <c r="AW105" s="25" t="s">
        <v>71</v>
      </c>
      <c r="AX105" s="25"/>
      <c r="AY105" s="24">
        <f>0</f>
        <v>0</v>
      </c>
      <c r="AZ105" s="24"/>
      <c r="BA105" s="25" t="s">
        <v>71</v>
      </c>
      <c r="BB105" s="25"/>
      <c r="BC105" s="25"/>
      <c r="BD105" s="24">
        <f>0</f>
        <v>0</v>
      </c>
      <c r="BE105" s="24"/>
      <c r="BF105" s="28">
        <f>74412</f>
        <v>74412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74412</f>
        <v>74412</v>
      </c>
      <c r="BO105" s="24"/>
      <c r="BP105" s="24"/>
      <c r="BQ105" s="27" t="s">
        <v>71</v>
      </c>
    </row>
    <row r="106" spans="1:69" s="1" customFormat="1" ht="13.5" customHeight="1">
      <c r="A106" s="16" t="s">
        <v>226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197</v>
      </c>
      <c r="N106" s="23"/>
      <c r="O106" s="23"/>
      <c r="P106" s="31" t="s">
        <v>241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74412</f>
        <v>74412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74412</f>
        <v>74412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74412</f>
        <v>74412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74412</f>
        <v>74412</v>
      </c>
      <c r="BO106" s="24"/>
      <c r="BP106" s="24"/>
      <c r="BQ106" s="27" t="s">
        <v>71</v>
      </c>
    </row>
    <row r="107" spans="1:69" s="1" customFormat="1" ht="13.5" customHeight="1">
      <c r="A107" s="16" t="s">
        <v>242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197</v>
      </c>
      <c r="N107" s="23"/>
      <c r="O107" s="23"/>
      <c r="P107" s="31" t="s">
        <v>243</v>
      </c>
      <c r="Q107" s="31"/>
      <c r="R107" s="31"/>
      <c r="S107" s="31"/>
      <c r="T107" s="31"/>
      <c r="U107" s="24">
        <f>77682</f>
        <v>77682</v>
      </c>
      <c r="V107" s="24"/>
      <c r="W107" s="24"/>
      <c r="X107" s="25" t="s">
        <v>71</v>
      </c>
      <c r="Y107" s="25"/>
      <c r="Z107" s="25"/>
      <c r="AA107" s="25"/>
      <c r="AB107" s="24">
        <f>77682</f>
        <v>77682</v>
      </c>
      <c r="AC107" s="24"/>
      <c r="AD107" s="24"/>
      <c r="AE107" s="26" t="s">
        <v>71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77682</f>
        <v>77682</v>
      </c>
      <c r="AU107" s="24"/>
      <c r="AV107" s="24"/>
      <c r="AW107" s="25" t="s">
        <v>71</v>
      </c>
      <c r="AX107" s="25"/>
      <c r="AY107" s="25" t="s">
        <v>71</v>
      </c>
      <c r="AZ107" s="25"/>
      <c r="BA107" s="25" t="s">
        <v>71</v>
      </c>
      <c r="BB107" s="25"/>
      <c r="BC107" s="25"/>
      <c r="BD107" s="25" t="s">
        <v>71</v>
      </c>
      <c r="BE107" s="25"/>
      <c r="BF107" s="26" t="s">
        <v>71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5" t="s">
        <v>71</v>
      </c>
      <c r="BO107" s="25"/>
      <c r="BP107" s="25"/>
      <c r="BQ107" s="27" t="s">
        <v>71</v>
      </c>
    </row>
    <row r="108" spans="1:69" s="1" customFormat="1" ht="13.5" customHeight="1">
      <c r="A108" s="16" t="s">
        <v>228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197</v>
      </c>
      <c r="N108" s="23"/>
      <c r="O108" s="23"/>
      <c r="P108" s="31" t="s">
        <v>244</v>
      </c>
      <c r="Q108" s="31"/>
      <c r="R108" s="31"/>
      <c r="S108" s="31"/>
      <c r="T108" s="31"/>
      <c r="U108" s="24">
        <f>77682</f>
        <v>77682</v>
      </c>
      <c r="V108" s="24"/>
      <c r="W108" s="24"/>
      <c r="X108" s="25" t="s">
        <v>71</v>
      </c>
      <c r="Y108" s="25"/>
      <c r="Z108" s="25"/>
      <c r="AA108" s="25"/>
      <c r="AB108" s="24">
        <f>77682</f>
        <v>77682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77682</f>
        <v>77682</v>
      </c>
      <c r="AU108" s="24"/>
      <c r="AV108" s="24"/>
      <c r="AW108" s="25" t="s">
        <v>71</v>
      </c>
      <c r="AX108" s="25"/>
      <c r="AY108" s="25" t="s">
        <v>71</v>
      </c>
      <c r="AZ108" s="25"/>
      <c r="BA108" s="25" t="s">
        <v>71</v>
      </c>
      <c r="BB108" s="25"/>
      <c r="BC108" s="25"/>
      <c r="BD108" s="25" t="s">
        <v>71</v>
      </c>
      <c r="BE108" s="25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5" t="s">
        <v>71</v>
      </c>
      <c r="BO108" s="25"/>
      <c r="BP108" s="25"/>
      <c r="BQ108" s="27" t="s">
        <v>71</v>
      </c>
    </row>
    <row r="109" spans="1:69" s="1" customFormat="1" ht="13.5" customHeight="1">
      <c r="A109" s="16" t="s">
        <v>245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197</v>
      </c>
      <c r="N109" s="23"/>
      <c r="O109" s="23"/>
      <c r="P109" s="31" t="s">
        <v>246</v>
      </c>
      <c r="Q109" s="31"/>
      <c r="R109" s="31"/>
      <c r="S109" s="31"/>
      <c r="T109" s="31"/>
      <c r="U109" s="24">
        <f>77682</f>
        <v>77682</v>
      </c>
      <c r="V109" s="24"/>
      <c r="W109" s="24"/>
      <c r="X109" s="25" t="s">
        <v>71</v>
      </c>
      <c r="Y109" s="25"/>
      <c r="Z109" s="25"/>
      <c r="AA109" s="25"/>
      <c r="AB109" s="24">
        <f>77682</f>
        <v>77682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77682</f>
        <v>77682</v>
      </c>
      <c r="AU109" s="24"/>
      <c r="AV109" s="24"/>
      <c r="AW109" s="25" t="s">
        <v>71</v>
      </c>
      <c r="AX109" s="25"/>
      <c r="AY109" s="25" t="s">
        <v>71</v>
      </c>
      <c r="AZ109" s="25"/>
      <c r="BA109" s="25" t="s">
        <v>71</v>
      </c>
      <c r="BB109" s="25"/>
      <c r="BC109" s="25"/>
      <c r="BD109" s="25" t="s">
        <v>71</v>
      </c>
      <c r="BE109" s="25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5" t="s">
        <v>71</v>
      </c>
      <c r="BO109" s="25"/>
      <c r="BP109" s="25"/>
      <c r="BQ109" s="27" t="s">
        <v>71</v>
      </c>
    </row>
    <row r="110" spans="1:69" s="1" customFormat="1" ht="13.5" customHeight="1">
      <c r="A110" s="16" t="s">
        <v>247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197</v>
      </c>
      <c r="N110" s="23"/>
      <c r="O110" s="23"/>
      <c r="P110" s="31" t="s">
        <v>248</v>
      </c>
      <c r="Q110" s="31"/>
      <c r="R110" s="31"/>
      <c r="S110" s="31"/>
      <c r="T110" s="31"/>
      <c r="U110" s="24">
        <f>5298783</f>
        <v>5298783</v>
      </c>
      <c r="V110" s="24"/>
      <c r="W110" s="24"/>
      <c r="X110" s="25" t="s">
        <v>71</v>
      </c>
      <c r="Y110" s="25"/>
      <c r="Z110" s="25"/>
      <c r="AA110" s="25"/>
      <c r="AB110" s="24">
        <f>5298783</f>
        <v>5298783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5298783</f>
        <v>5298783</v>
      </c>
      <c r="AU110" s="24"/>
      <c r="AV110" s="24"/>
      <c r="AW110" s="25" t="s">
        <v>71</v>
      </c>
      <c r="AX110" s="25"/>
      <c r="AY110" s="24">
        <f>3439532.63</f>
        <v>3439532.63</v>
      </c>
      <c r="AZ110" s="24"/>
      <c r="BA110" s="25" t="s">
        <v>71</v>
      </c>
      <c r="BB110" s="25"/>
      <c r="BC110" s="25"/>
      <c r="BD110" s="24">
        <f>3439532.63</f>
        <v>3439532.63</v>
      </c>
      <c r="BE110" s="24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4">
        <f>3439532.63</f>
        <v>3439532.63</v>
      </c>
      <c r="BO110" s="24"/>
      <c r="BP110" s="24"/>
      <c r="BQ110" s="27" t="s">
        <v>71</v>
      </c>
    </row>
    <row r="111" spans="1:69" s="1" customFormat="1" ht="54.75" customHeight="1">
      <c r="A111" s="16" t="s">
        <v>202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197</v>
      </c>
      <c r="N111" s="23"/>
      <c r="O111" s="23"/>
      <c r="P111" s="31" t="s">
        <v>249</v>
      </c>
      <c r="Q111" s="31"/>
      <c r="R111" s="31"/>
      <c r="S111" s="31"/>
      <c r="T111" s="31"/>
      <c r="U111" s="24">
        <f>3611918</f>
        <v>3611918</v>
      </c>
      <c r="V111" s="24"/>
      <c r="W111" s="24"/>
      <c r="X111" s="25" t="s">
        <v>71</v>
      </c>
      <c r="Y111" s="25"/>
      <c r="Z111" s="25"/>
      <c r="AA111" s="25"/>
      <c r="AB111" s="24">
        <f>3611918</f>
        <v>3611918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3611918</f>
        <v>3611918</v>
      </c>
      <c r="AU111" s="24"/>
      <c r="AV111" s="24"/>
      <c r="AW111" s="25" t="s">
        <v>71</v>
      </c>
      <c r="AX111" s="25"/>
      <c r="AY111" s="24">
        <f>2636527.92</f>
        <v>2636527.92</v>
      </c>
      <c r="AZ111" s="24"/>
      <c r="BA111" s="25" t="s">
        <v>71</v>
      </c>
      <c r="BB111" s="25"/>
      <c r="BC111" s="25"/>
      <c r="BD111" s="24">
        <f>2636527.92</f>
        <v>2636527.92</v>
      </c>
      <c r="BE111" s="24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2636527.92</f>
        <v>2636527.92</v>
      </c>
      <c r="BO111" s="24"/>
      <c r="BP111" s="24"/>
      <c r="BQ111" s="27" t="s">
        <v>71</v>
      </c>
    </row>
    <row r="112" spans="1:69" s="1" customFormat="1" ht="13.5" customHeight="1">
      <c r="A112" s="16" t="s">
        <v>250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197</v>
      </c>
      <c r="N112" s="23"/>
      <c r="O112" s="23"/>
      <c r="P112" s="31" t="s">
        <v>251</v>
      </c>
      <c r="Q112" s="31"/>
      <c r="R112" s="31"/>
      <c r="S112" s="31"/>
      <c r="T112" s="31"/>
      <c r="U112" s="24">
        <f>3611918</f>
        <v>3611918</v>
      </c>
      <c r="V112" s="24"/>
      <c r="W112" s="24"/>
      <c r="X112" s="25" t="s">
        <v>71</v>
      </c>
      <c r="Y112" s="25"/>
      <c r="Z112" s="25"/>
      <c r="AA112" s="25"/>
      <c r="AB112" s="24">
        <f>3611918</f>
        <v>3611918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3611918</f>
        <v>3611918</v>
      </c>
      <c r="AU112" s="24"/>
      <c r="AV112" s="24"/>
      <c r="AW112" s="25" t="s">
        <v>71</v>
      </c>
      <c r="AX112" s="25"/>
      <c r="AY112" s="24">
        <f>2636527.92</f>
        <v>2636527.92</v>
      </c>
      <c r="AZ112" s="24"/>
      <c r="BA112" s="25" t="s">
        <v>71</v>
      </c>
      <c r="BB112" s="25"/>
      <c r="BC112" s="25"/>
      <c r="BD112" s="24">
        <f>2636527.92</f>
        <v>2636527.92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2636527.92</f>
        <v>2636527.92</v>
      </c>
      <c r="BO112" s="24"/>
      <c r="BP112" s="24"/>
      <c r="BQ112" s="27" t="s">
        <v>71</v>
      </c>
    </row>
    <row r="113" spans="1:69" s="1" customFormat="1" ht="13.5" customHeight="1">
      <c r="A113" s="16" t="s">
        <v>252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197</v>
      </c>
      <c r="N113" s="23"/>
      <c r="O113" s="23"/>
      <c r="P113" s="31" t="s">
        <v>253</v>
      </c>
      <c r="Q113" s="31"/>
      <c r="R113" s="31"/>
      <c r="S113" s="31"/>
      <c r="T113" s="31"/>
      <c r="U113" s="24">
        <f>2812322</f>
        <v>2812322</v>
      </c>
      <c r="V113" s="24"/>
      <c r="W113" s="24"/>
      <c r="X113" s="25" t="s">
        <v>71</v>
      </c>
      <c r="Y113" s="25"/>
      <c r="Z113" s="25"/>
      <c r="AA113" s="25"/>
      <c r="AB113" s="24">
        <f>2812322</f>
        <v>2812322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2812322</f>
        <v>2812322</v>
      </c>
      <c r="AU113" s="24"/>
      <c r="AV113" s="24"/>
      <c r="AW113" s="25" t="s">
        <v>71</v>
      </c>
      <c r="AX113" s="25"/>
      <c r="AY113" s="24">
        <f>2065460.1</f>
        <v>2065460.1</v>
      </c>
      <c r="AZ113" s="24"/>
      <c r="BA113" s="25" t="s">
        <v>71</v>
      </c>
      <c r="BB113" s="25"/>
      <c r="BC113" s="25"/>
      <c r="BD113" s="24">
        <f>2065460.1</f>
        <v>2065460.1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2065460.1</f>
        <v>2065460.1</v>
      </c>
      <c r="BO113" s="24"/>
      <c r="BP113" s="24"/>
      <c r="BQ113" s="27" t="s">
        <v>71</v>
      </c>
    </row>
    <row r="114" spans="1:69" s="1" customFormat="1" ht="24" customHeight="1">
      <c r="A114" s="16" t="s">
        <v>254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197</v>
      </c>
      <c r="N114" s="23"/>
      <c r="O114" s="23"/>
      <c r="P114" s="31" t="s">
        <v>255</v>
      </c>
      <c r="Q114" s="31"/>
      <c r="R114" s="31"/>
      <c r="S114" s="31"/>
      <c r="T114" s="31"/>
      <c r="U114" s="24">
        <f>2400</f>
        <v>2400</v>
      </c>
      <c r="V114" s="24"/>
      <c r="W114" s="24"/>
      <c r="X114" s="25" t="s">
        <v>71</v>
      </c>
      <c r="Y114" s="25"/>
      <c r="Z114" s="25"/>
      <c r="AA114" s="25"/>
      <c r="AB114" s="24">
        <f>2400</f>
        <v>2400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2400</f>
        <v>2400</v>
      </c>
      <c r="AU114" s="24"/>
      <c r="AV114" s="24"/>
      <c r="AW114" s="25" t="s">
        <v>71</v>
      </c>
      <c r="AX114" s="25"/>
      <c r="AY114" s="24">
        <f>2400</f>
        <v>2400</v>
      </c>
      <c r="AZ114" s="24"/>
      <c r="BA114" s="25" t="s">
        <v>71</v>
      </c>
      <c r="BB114" s="25"/>
      <c r="BC114" s="25"/>
      <c r="BD114" s="24">
        <f>2400</f>
        <v>2400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2400</f>
        <v>2400</v>
      </c>
      <c r="BO114" s="24"/>
      <c r="BP114" s="24"/>
      <c r="BQ114" s="27" t="s">
        <v>71</v>
      </c>
    </row>
    <row r="115" spans="1:69" s="1" customFormat="1" ht="33.75" customHeight="1">
      <c r="A115" s="16" t="s">
        <v>256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197</v>
      </c>
      <c r="N115" s="23"/>
      <c r="O115" s="23"/>
      <c r="P115" s="31" t="s">
        <v>257</v>
      </c>
      <c r="Q115" s="31"/>
      <c r="R115" s="31"/>
      <c r="S115" s="31"/>
      <c r="T115" s="31"/>
      <c r="U115" s="24">
        <f>797196</f>
        <v>797196</v>
      </c>
      <c r="V115" s="24"/>
      <c r="W115" s="24"/>
      <c r="X115" s="25" t="s">
        <v>71</v>
      </c>
      <c r="Y115" s="25"/>
      <c r="Z115" s="25"/>
      <c r="AA115" s="25"/>
      <c r="AB115" s="24">
        <f>797196</f>
        <v>797196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797196</f>
        <v>797196</v>
      </c>
      <c r="AU115" s="24"/>
      <c r="AV115" s="24"/>
      <c r="AW115" s="25" t="s">
        <v>71</v>
      </c>
      <c r="AX115" s="25"/>
      <c r="AY115" s="24">
        <f>568667.82</f>
        <v>568667.82</v>
      </c>
      <c r="AZ115" s="24"/>
      <c r="BA115" s="25" t="s">
        <v>71</v>
      </c>
      <c r="BB115" s="25"/>
      <c r="BC115" s="25"/>
      <c r="BD115" s="24">
        <f>568667.82</f>
        <v>568667.82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568667.82</f>
        <v>568667.82</v>
      </c>
      <c r="BO115" s="24"/>
      <c r="BP115" s="24"/>
      <c r="BQ115" s="27" t="s">
        <v>71</v>
      </c>
    </row>
    <row r="116" spans="1:69" s="1" customFormat="1" ht="24" customHeight="1">
      <c r="A116" s="16" t="s">
        <v>218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197</v>
      </c>
      <c r="N116" s="23"/>
      <c r="O116" s="23"/>
      <c r="P116" s="31" t="s">
        <v>258</v>
      </c>
      <c r="Q116" s="31"/>
      <c r="R116" s="31"/>
      <c r="S116" s="31"/>
      <c r="T116" s="31"/>
      <c r="U116" s="24">
        <f>1613631</f>
        <v>1613631</v>
      </c>
      <c r="V116" s="24"/>
      <c r="W116" s="24"/>
      <c r="X116" s="25" t="s">
        <v>71</v>
      </c>
      <c r="Y116" s="25"/>
      <c r="Z116" s="25"/>
      <c r="AA116" s="25"/>
      <c r="AB116" s="24">
        <f>1613631</f>
        <v>1613631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1613631</f>
        <v>1613631</v>
      </c>
      <c r="AU116" s="24"/>
      <c r="AV116" s="24"/>
      <c r="AW116" s="25" t="s">
        <v>71</v>
      </c>
      <c r="AX116" s="25"/>
      <c r="AY116" s="24">
        <f>775504.71</f>
        <v>775504.71</v>
      </c>
      <c r="AZ116" s="24"/>
      <c r="BA116" s="25" t="s">
        <v>71</v>
      </c>
      <c r="BB116" s="25"/>
      <c r="BC116" s="25"/>
      <c r="BD116" s="24">
        <f>775504.71</f>
        <v>775504.71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775504.71</f>
        <v>775504.71</v>
      </c>
      <c r="BO116" s="24"/>
      <c r="BP116" s="24"/>
      <c r="BQ116" s="27" t="s">
        <v>71</v>
      </c>
    </row>
    <row r="117" spans="1:69" s="1" customFormat="1" ht="24" customHeight="1">
      <c r="A117" s="16" t="s">
        <v>220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197</v>
      </c>
      <c r="N117" s="23"/>
      <c r="O117" s="23"/>
      <c r="P117" s="31" t="s">
        <v>259</v>
      </c>
      <c r="Q117" s="31"/>
      <c r="R117" s="31"/>
      <c r="S117" s="31"/>
      <c r="T117" s="31"/>
      <c r="U117" s="24">
        <f>1613631</f>
        <v>1613631</v>
      </c>
      <c r="V117" s="24"/>
      <c r="W117" s="24"/>
      <c r="X117" s="25" t="s">
        <v>71</v>
      </c>
      <c r="Y117" s="25"/>
      <c r="Z117" s="25"/>
      <c r="AA117" s="25"/>
      <c r="AB117" s="24">
        <f>1613631</f>
        <v>1613631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1613631</f>
        <v>1613631</v>
      </c>
      <c r="AU117" s="24"/>
      <c r="AV117" s="24"/>
      <c r="AW117" s="25" t="s">
        <v>71</v>
      </c>
      <c r="AX117" s="25"/>
      <c r="AY117" s="24">
        <f>775504.71</f>
        <v>775504.71</v>
      </c>
      <c r="AZ117" s="24"/>
      <c r="BA117" s="25" t="s">
        <v>71</v>
      </c>
      <c r="BB117" s="25"/>
      <c r="BC117" s="25"/>
      <c r="BD117" s="24">
        <f>775504.71</f>
        <v>775504.71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775504.71</f>
        <v>775504.71</v>
      </c>
      <c r="BO117" s="24"/>
      <c r="BP117" s="24"/>
      <c r="BQ117" s="27" t="s">
        <v>71</v>
      </c>
    </row>
    <row r="118" spans="1:69" s="1" customFormat="1" ht="13.5" customHeight="1">
      <c r="A118" s="16" t="s">
        <v>222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197</v>
      </c>
      <c r="N118" s="23"/>
      <c r="O118" s="23"/>
      <c r="P118" s="31" t="s">
        <v>260</v>
      </c>
      <c r="Q118" s="31"/>
      <c r="R118" s="31"/>
      <c r="S118" s="31"/>
      <c r="T118" s="31"/>
      <c r="U118" s="24">
        <f>1613631</f>
        <v>1613631</v>
      </c>
      <c r="V118" s="24"/>
      <c r="W118" s="24"/>
      <c r="X118" s="25" t="s">
        <v>71</v>
      </c>
      <c r="Y118" s="25"/>
      <c r="Z118" s="25"/>
      <c r="AA118" s="25"/>
      <c r="AB118" s="24">
        <f>1613631</f>
        <v>1613631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1613631</f>
        <v>1613631</v>
      </c>
      <c r="AU118" s="24"/>
      <c r="AV118" s="24"/>
      <c r="AW118" s="25" t="s">
        <v>71</v>
      </c>
      <c r="AX118" s="25"/>
      <c r="AY118" s="24">
        <f>775504.71</f>
        <v>775504.71</v>
      </c>
      <c r="AZ118" s="24"/>
      <c r="BA118" s="25" t="s">
        <v>71</v>
      </c>
      <c r="BB118" s="25"/>
      <c r="BC118" s="25"/>
      <c r="BD118" s="24">
        <f>775504.71</f>
        <v>775504.71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775504.71</f>
        <v>775504.71</v>
      </c>
      <c r="BO118" s="24"/>
      <c r="BP118" s="24"/>
      <c r="BQ118" s="27" t="s">
        <v>71</v>
      </c>
    </row>
    <row r="119" spans="1:69" s="1" customFormat="1" ht="13.5" customHeight="1">
      <c r="A119" s="16" t="s">
        <v>228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197</v>
      </c>
      <c r="N119" s="23"/>
      <c r="O119" s="23"/>
      <c r="P119" s="31" t="s">
        <v>261</v>
      </c>
      <c r="Q119" s="31"/>
      <c r="R119" s="31"/>
      <c r="S119" s="31"/>
      <c r="T119" s="31"/>
      <c r="U119" s="24">
        <f>73234</f>
        <v>73234</v>
      </c>
      <c r="V119" s="24"/>
      <c r="W119" s="24"/>
      <c r="X119" s="25" t="s">
        <v>71</v>
      </c>
      <c r="Y119" s="25"/>
      <c r="Z119" s="25"/>
      <c r="AA119" s="25"/>
      <c r="AB119" s="24">
        <f>73234</f>
        <v>73234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73234</f>
        <v>73234</v>
      </c>
      <c r="AU119" s="24"/>
      <c r="AV119" s="24"/>
      <c r="AW119" s="25" t="s">
        <v>71</v>
      </c>
      <c r="AX119" s="25"/>
      <c r="AY119" s="24">
        <f>27500</f>
        <v>27500</v>
      </c>
      <c r="AZ119" s="24"/>
      <c r="BA119" s="25" t="s">
        <v>71</v>
      </c>
      <c r="BB119" s="25"/>
      <c r="BC119" s="25"/>
      <c r="BD119" s="24">
        <f>27500</f>
        <v>27500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27500</f>
        <v>27500</v>
      </c>
      <c r="BO119" s="24"/>
      <c r="BP119" s="24"/>
      <c r="BQ119" s="27" t="s">
        <v>71</v>
      </c>
    </row>
    <row r="120" spans="1:69" s="1" customFormat="1" ht="13.5" customHeight="1">
      <c r="A120" s="16" t="s">
        <v>230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197</v>
      </c>
      <c r="N120" s="23"/>
      <c r="O120" s="23"/>
      <c r="P120" s="31" t="s">
        <v>262</v>
      </c>
      <c r="Q120" s="31"/>
      <c r="R120" s="31"/>
      <c r="S120" s="31"/>
      <c r="T120" s="31"/>
      <c r="U120" s="24">
        <f>73234</f>
        <v>73234</v>
      </c>
      <c r="V120" s="24"/>
      <c r="W120" s="24"/>
      <c r="X120" s="25" t="s">
        <v>71</v>
      </c>
      <c r="Y120" s="25"/>
      <c r="Z120" s="25"/>
      <c r="AA120" s="25"/>
      <c r="AB120" s="24">
        <f>73234</f>
        <v>73234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73234</f>
        <v>73234</v>
      </c>
      <c r="AU120" s="24"/>
      <c r="AV120" s="24"/>
      <c r="AW120" s="25" t="s">
        <v>71</v>
      </c>
      <c r="AX120" s="25"/>
      <c r="AY120" s="24">
        <f>27500</f>
        <v>27500</v>
      </c>
      <c r="AZ120" s="24"/>
      <c r="BA120" s="25" t="s">
        <v>71</v>
      </c>
      <c r="BB120" s="25"/>
      <c r="BC120" s="25"/>
      <c r="BD120" s="24">
        <f>27500</f>
        <v>27500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27500</f>
        <v>27500</v>
      </c>
      <c r="BO120" s="24"/>
      <c r="BP120" s="24"/>
      <c r="BQ120" s="27" t="s">
        <v>71</v>
      </c>
    </row>
    <row r="121" spans="1:69" s="1" customFormat="1" ht="24" customHeight="1">
      <c r="A121" s="16" t="s">
        <v>232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197</v>
      </c>
      <c r="N121" s="23"/>
      <c r="O121" s="23"/>
      <c r="P121" s="31" t="s">
        <v>263</v>
      </c>
      <c r="Q121" s="31"/>
      <c r="R121" s="31"/>
      <c r="S121" s="31"/>
      <c r="T121" s="31"/>
      <c r="U121" s="24">
        <f>17000</f>
        <v>17000</v>
      </c>
      <c r="V121" s="24"/>
      <c r="W121" s="24"/>
      <c r="X121" s="25" t="s">
        <v>71</v>
      </c>
      <c r="Y121" s="25"/>
      <c r="Z121" s="25"/>
      <c r="AA121" s="25"/>
      <c r="AB121" s="24">
        <f>17000</f>
        <v>17000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17000</f>
        <v>17000</v>
      </c>
      <c r="AU121" s="24"/>
      <c r="AV121" s="24"/>
      <c r="AW121" s="25" t="s">
        <v>71</v>
      </c>
      <c r="AX121" s="25"/>
      <c r="AY121" s="24">
        <f>17000</f>
        <v>17000</v>
      </c>
      <c r="AZ121" s="24"/>
      <c r="BA121" s="25" t="s">
        <v>71</v>
      </c>
      <c r="BB121" s="25"/>
      <c r="BC121" s="25"/>
      <c r="BD121" s="24">
        <f>17000</f>
        <v>17000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17000</f>
        <v>17000</v>
      </c>
      <c r="BO121" s="24"/>
      <c r="BP121" s="24"/>
      <c r="BQ121" s="27" t="s">
        <v>71</v>
      </c>
    </row>
    <row r="122" spans="1:69" s="1" customFormat="1" ht="13.5" customHeight="1">
      <c r="A122" s="16" t="s">
        <v>234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197</v>
      </c>
      <c r="N122" s="23"/>
      <c r="O122" s="23"/>
      <c r="P122" s="31" t="s">
        <v>264</v>
      </c>
      <c r="Q122" s="31"/>
      <c r="R122" s="31"/>
      <c r="S122" s="31"/>
      <c r="T122" s="31"/>
      <c r="U122" s="24">
        <f>14500</f>
        <v>14500</v>
      </c>
      <c r="V122" s="24"/>
      <c r="W122" s="24"/>
      <c r="X122" s="25" t="s">
        <v>71</v>
      </c>
      <c r="Y122" s="25"/>
      <c r="Z122" s="25"/>
      <c r="AA122" s="25"/>
      <c r="AB122" s="24">
        <f>14500</f>
        <v>14500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14500</f>
        <v>14500</v>
      </c>
      <c r="AU122" s="24"/>
      <c r="AV122" s="24"/>
      <c r="AW122" s="25" t="s">
        <v>71</v>
      </c>
      <c r="AX122" s="25"/>
      <c r="AY122" s="24">
        <f>10500</f>
        <v>10500</v>
      </c>
      <c r="AZ122" s="24"/>
      <c r="BA122" s="25" t="s">
        <v>71</v>
      </c>
      <c r="BB122" s="25"/>
      <c r="BC122" s="25"/>
      <c r="BD122" s="24">
        <f>10500</f>
        <v>10500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10500</f>
        <v>10500</v>
      </c>
      <c r="BO122" s="24"/>
      <c r="BP122" s="24"/>
      <c r="BQ122" s="27" t="s">
        <v>71</v>
      </c>
    </row>
    <row r="123" spans="1:69" s="1" customFormat="1" ht="13.5" customHeight="1">
      <c r="A123" s="16" t="s">
        <v>236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197</v>
      </c>
      <c r="N123" s="23"/>
      <c r="O123" s="23"/>
      <c r="P123" s="31" t="s">
        <v>265</v>
      </c>
      <c r="Q123" s="31"/>
      <c r="R123" s="31"/>
      <c r="S123" s="31"/>
      <c r="T123" s="31"/>
      <c r="U123" s="24">
        <f>41734</f>
        <v>41734</v>
      </c>
      <c r="V123" s="24"/>
      <c r="W123" s="24"/>
      <c r="X123" s="25" t="s">
        <v>71</v>
      </c>
      <c r="Y123" s="25"/>
      <c r="Z123" s="25"/>
      <c r="AA123" s="25"/>
      <c r="AB123" s="24">
        <f>41734</f>
        <v>41734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41734</f>
        <v>41734</v>
      </c>
      <c r="AU123" s="24"/>
      <c r="AV123" s="24"/>
      <c r="AW123" s="25" t="s">
        <v>71</v>
      </c>
      <c r="AX123" s="25"/>
      <c r="AY123" s="25" t="s">
        <v>71</v>
      </c>
      <c r="AZ123" s="25"/>
      <c r="BA123" s="25" t="s">
        <v>71</v>
      </c>
      <c r="BB123" s="25"/>
      <c r="BC123" s="25"/>
      <c r="BD123" s="25" t="s">
        <v>71</v>
      </c>
      <c r="BE123" s="25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5" t="s">
        <v>71</v>
      </c>
      <c r="BO123" s="25"/>
      <c r="BP123" s="25"/>
      <c r="BQ123" s="27" t="s">
        <v>71</v>
      </c>
    </row>
    <row r="124" spans="1:69" s="1" customFormat="1" ht="13.5" customHeight="1">
      <c r="A124" s="16" t="s">
        <v>266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197</v>
      </c>
      <c r="N124" s="23"/>
      <c r="O124" s="23"/>
      <c r="P124" s="31" t="s">
        <v>267</v>
      </c>
      <c r="Q124" s="31"/>
      <c r="R124" s="31"/>
      <c r="S124" s="31"/>
      <c r="T124" s="31"/>
      <c r="U124" s="24">
        <f>233531</f>
        <v>233531</v>
      </c>
      <c r="V124" s="24"/>
      <c r="W124" s="24"/>
      <c r="X124" s="25" t="s">
        <v>71</v>
      </c>
      <c r="Y124" s="25"/>
      <c r="Z124" s="25"/>
      <c r="AA124" s="25"/>
      <c r="AB124" s="24">
        <f>233531</f>
        <v>233531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233531</f>
        <v>233531</v>
      </c>
      <c r="AU124" s="24"/>
      <c r="AV124" s="24"/>
      <c r="AW124" s="25" t="s">
        <v>71</v>
      </c>
      <c r="AX124" s="25"/>
      <c r="AY124" s="24">
        <f>162780.89</f>
        <v>162780.89</v>
      </c>
      <c r="AZ124" s="24"/>
      <c r="BA124" s="25" t="s">
        <v>71</v>
      </c>
      <c r="BB124" s="25"/>
      <c r="BC124" s="25"/>
      <c r="BD124" s="24">
        <f>162780.89</f>
        <v>162780.89</v>
      </c>
      <c r="BE124" s="24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4">
        <f>162780.89</f>
        <v>162780.89</v>
      </c>
      <c r="BO124" s="24"/>
      <c r="BP124" s="24"/>
      <c r="BQ124" s="27" t="s">
        <v>71</v>
      </c>
    </row>
    <row r="125" spans="1:69" s="1" customFormat="1" ht="13.5" customHeight="1">
      <c r="A125" s="16" t="s">
        <v>268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197</v>
      </c>
      <c r="N125" s="23"/>
      <c r="O125" s="23"/>
      <c r="P125" s="31" t="s">
        <v>269</v>
      </c>
      <c r="Q125" s="31"/>
      <c r="R125" s="31"/>
      <c r="S125" s="31"/>
      <c r="T125" s="31"/>
      <c r="U125" s="24">
        <f>233531</f>
        <v>233531</v>
      </c>
      <c r="V125" s="24"/>
      <c r="W125" s="24"/>
      <c r="X125" s="25" t="s">
        <v>71</v>
      </c>
      <c r="Y125" s="25"/>
      <c r="Z125" s="25"/>
      <c r="AA125" s="25"/>
      <c r="AB125" s="24">
        <f>233531</f>
        <v>233531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233531</f>
        <v>233531</v>
      </c>
      <c r="AU125" s="24"/>
      <c r="AV125" s="24"/>
      <c r="AW125" s="25" t="s">
        <v>71</v>
      </c>
      <c r="AX125" s="25"/>
      <c r="AY125" s="24">
        <f>162780.89</f>
        <v>162780.89</v>
      </c>
      <c r="AZ125" s="24"/>
      <c r="BA125" s="25" t="s">
        <v>71</v>
      </c>
      <c r="BB125" s="25"/>
      <c r="BC125" s="25"/>
      <c r="BD125" s="24">
        <f>162780.89</f>
        <v>162780.89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162780.89</f>
        <v>162780.89</v>
      </c>
      <c r="BO125" s="24"/>
      <c r="BP125" s="24"/>
      <c r="BQ125" s="27" t="s">
        <v>71</v>
      </c>
    </row>
    <row r="126" spans="1:69" s="1" customFormat="1" ht="54.75" customHeight="1">
      <c r="A126" s="16" t="s">
        <v>202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197</v>
      </c>
      <c r="N126" s="23"/>
      <c r="O126" s="23"/>
      <c r="P126" s="31" t="s">
        <v>270</v>
      </c>
      <c r="Q126" s="31"/>
      <c r="R126" s="31"/>
      <c r="S126" s="31"/>
      <c r="T126" s="31"/>
      <c r="U126" s="24">
        <f>226361</f>
        <v>226361</v>
      </c>
      <c r="V126" s="24"/>
      <c r="W126" s="24"/>
      <c r="X126" s="25" t="s">
        <v>71</v>
      </c>
      <c r="Y126" s="25"/>
      <c r="Z126" s="25"/>
      <c r="AA126" s="25"/>
      <c r="AB126" s="24">
        <f>226361</f>
        <v>226361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226361</f>
        <v>226361</v>
      </c>
      <c r="AU126" s="24"/>
      <c r="AV126" s="24"/>
      <c r="AW126" s="25" t="s">
        <v>71</v>
      </c>
      <c r="AX126" s="25"/>
      <c r="AY126" s="24">
        <f>162780.89</f>
        <v>162780.89</v>
      </c>
      <c r="AZ126" s="24"/>
      <c r="BA126" s="25" t="s">
        <v>71</v>
      </c>
      <c r="BB126" s="25"/>
      <c r="BC126" s="25"/>
      <c r="BD126" s="24">
        <f>162780.89</f>
        <v>162780.89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162780.89</f>
        <v>162780.89</v>
      </c>
      <c r="BO126" s="24"/>
      <c r="BP126" s="24"/>
      <c r="BQ126" s="27" t="s">
        <v>71</v>
      </c>
    </row>
    <row r="127" spans="1:69" s="1" customFormat="1" ht="24" customHeight="1">
      <c r="A127" s="16" t="s">
        <v>204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197</v>
      </c>
      <c r="N127" s="23"/>
      <c r="O127" s="23"/>
      <c r="P127" s="31" t="s">
        <v>271</v>
      </c>
      <c r="Q127" s="31"/>
      <c r="R127" s="31"/>
      <c r="S127" s="31"/>
      <c r="T127" s="31"/>
      <c r="U127" s="24">
        <f>226361</f>
        <v>226361</v>
      </c>
      <c r="V127" s="24"/>
      <c r="W127" s="24"/>
      <c r="X127" s="25" t="s">
        <v>71</v>
      </c>
      <c r="Y127" s="25"/>
      <c r="Z127" s="25"/>
      <c r="AA127" s="25"/>
      <c r="AB127" s="24">
        <f>226361</f>
        <v>226361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226361</f>
        <v>226361</v>
      </c>
      <c r="AU127" s="24"/>
      <c r="AV127" s="24"/>
      <c r="AW127" s="25" t="s">
        <v>71</v>
      </c>
      <c r="AX127" s="25"/>
      <c r="AY127" s="24">
        <f>162780.89</f>
        <v>162780.89</v>
      </c>
      <c r="AZ127" s="24"/>
      <c r="BA127" s="25" t="s">
        <v>71</v>
      </c>
      <c r="BB127" s="25"/>
      <c r="BC127" s="25"/>
      <c r="BD127" s="24">
        <f>162780.89</f>
        <v>162780.89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162780.89</f>
        <v>162780.89</v>
      </c>
      <c r="BO127" s="24"/>
      <c r="BP127" s="24"/>
      <c r="BQ127" s="27" t="s">
        <v>71</v>
      </c>
    </row>
    <row r="128" spans="1:69" s="1" customFormat="1" ht="24" customHeight="1">
      <c r="A128" s="16" t="s">
        <v>206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197</v>
      </c>
      <c r="N128" s="23"/>
      <c r="O128" s="23"/>
      <c r="P128" s="31" t="s">
        <v>272</v>
      </c>
      <c r="Q128" s="31"/>
      <c r="R128" s="31"/>
      <c r="S128" s="31"/>
      <c r="T128" s="31"/>
      <c r="U128" s="24">
        <f>173857</f>
        <v>173857</v>
      </c>
      <c r="V128" s="24"/>
      <c r="W128" s="24"/>
      <c r="X128" s="25" t="s">
        <v>71</v>
      </c>
      <c r="Y128" s="25"/>
      <c r="Z128" s="25"/>
      <c r="AA128" s="25"/>
      <c r="AB128" s="24">
        <f>173857</f>
        <v>173857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173857</f>
        <v>173857</v>
      </c>
      <c r="AU128" s="24"/>
      <c r="AV128" s="24"/>
      <c r="AW128" s="25" t="s">
        <v>71</v>
      </c>
      <c r="AX128" s="25"/>
      <c r="AY128" s="24">
        <f>130532.89</f>
        <v>130532.89</v>
      </c>
      <c r="AZ128" s="24"/>
      <c r="BA128" s="25" t="s">
        <v>71</v>
      </c>
      <c r="BB128" s="25"/>
      <c r="BC128" s="25"/>
      <c r="BD128" s="24">
        <f>130532.89</f>
        <v>130532.89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130532.89</f>
        <v>130532.89</v>
      </c>
      <c r="BO128" s="24"/>
      <c r="BP128" s="24"/>
      <c r="BQ128" s="27" t="s">
        <v>71</v>
      </c>
    </row>
    <row r="129" spans="1:69" s="1" customFormat="1" ht="33.75" customHeight="1">
      <c r="A129" s="16" t="s">
        <v>208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197</v>
      </c>
      <c r="N129" s="23"/>
      <c r="O129" s="23"/>
      <c r="P129" s="31" t="s">
        <v>273</v>
      </c>
      <c r="Q129" s="31"/>
      <c r="R129" s="31"/>
      <c r="S129" s="31"/>
      <c r="T129" s="31"/>
      <c r="U129" s="24">
        <f>52504</f>
        <v>52504</v>
      </c>
      <c r="V129" s="24"/>
      <c r="W129" s="24"/>
      <c r="X129" s="25" t="s">
        <v>71</v>
      </c>
      <c r="Y129" s="25"/>
      <c r="Z129" s="25"/>
      <c r="AA129" s="25"/>
      <c r="AB129" s="24">
        <f>52504</f>
        <v>52504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52504</f>
        <v>52504</v>
      </c>
      <c r="AU129" s="24"/>
      <c r="AV129" s="24"/>
      <c r="AW129" s="25" t="s">
        <v>71</v>
      </c>
      <c r="AX129" s="25"/>
      <c r="AY129" s="24">
        <f>32248</f>
        <v>32248</v>
      </c>
      <c r="AZ129" s="24"/>
      <c r="BA129" s="25" t="s">
        <v>71</v>
      </c>
      <c r="BB129" s="25"/>
      <c r="BC129" s="25"/>
      <c r="BD129" s="24">
        <f>32248</f>
        <v>32248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32248</f>
        <v>32248</v>
      </c>
      <c r="BO129" s="24"/>
      <c r="BP129" s="24"/>
      <c r="BQ129" s="27" t="s">
        <v>71</v>
      </c>
    </row>
    <row r="130" spans="1:69" s="1" customFormat="1" ht="24" customHeight="1">
      <c r="A130" s="16" t="s">
        <v>218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197</v>
      </c>
      <c r="N130" s="23"/>
      <c r="O130" s="23"/>
      <c r="P130" s="31" t="s">
        <v>274</v>
      </c>
      <c r="Q130" s="31"/>
      <c r="R130" s="31"/>
      <c r="S130" s="31"/>
      <c r="T130" s="31"/>
      <c r="U130" s="24">
        <f>7170</f>
        <v>7170</v>
      </c>
      <c r="V130" s="24"/>
      <c r="W130" s="24"/>
      <c r="X130" s="25" t="s">
        <v>71</v>
      </c>
      <c r="Y130" s="25"/>
      <c r="Z130" s="25"/>
      <c r="AA130" s="25"/>
      <c r="AB130" s="24">
        <f>7170</f>
        <v>7170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7170</f>
        <v>7170</v>
      </c>
      <c r="AU130" s="24"/>
      <c r="AV130" s="24"/>
      <c r="AW130" s="25" t="s">
        <v>71</v>
      </c>
      <c r="AX130" s="25"/>
      <c r="AY130" s="25" t="s">
        <v>71</v>
      </c>
      <c r="AZ130" s="25"/>
      <c r="BA130" s="25" t="s">
        <v>71</v>
      </c>
      <c r="BB130" s="25"/>
      <c r="BC130" s="25"/>
      <c r="BD130" s="25" t="s">
        <v>71</v>
      </c>
      <c r="BE130" s="25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5" t="s">
        <v>71</v>
      </c>
      <c r="BO130" s="25"/>
      <c r="BP130" s="25"/>
      <c r="BQ130" s="27" t="s">
        <v>71</v>
      </c>
    </row>
    <row r="131" spans="1:69" s="1" customFormat="1" ht="24" customHeight="1">
      <c r="A131" s="16" t="s">
        <v>220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197</v>
      </c>
      <c r="N131" s="23"/>
      <c r="O131" s="23"/>
      <c r="P131" s="31" t="s">
        <v>275</v>
      </c>
      <c r="Q131" s="31"/>
      <c r="R131" s="31"/>
      <c r="S131" s="31"/>
      <c r="T131" s="31"/>
      <c r="U131" s="24">
        <f>7170</f>
        <v>7170</v>
      </c>
      <c r="V131" s="24"/>
      <c r="W131" s="24"/>
      <c r="X131" s="25" t="s">
        <v>71</v>
      </c>
      <c r="Y131" s="25"/>
      <c r="Z131" s="25"/>
      <c r="AA131" s="25"/>
      <c r="AB131" s="24">
        <f>7170</f>
        <v>7170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7170</f>
        <v>7170</v>
      </c>
      <c r="AU131" s="24"/>
      <c r="AV131" s="24"/>
      <c r="AW131" s="25" t="s">
        <v>71</v>
      </c>
      <c r="AX131" s="25"/>
      <c r="AY131" s="25" t="s">
        <v>71</v>
      </c>
      <c r="AZ131" s="25"/>
      <c r="BA131" s="25" t="s">
        <v>71</v>
      </c>
      <c r="BB131" s="25"/>
      <c r="BC131" s="25"/>
      <c r="BD131" s="25" t="s">
        <v>71</v>
      </c>
      <c r="BE131" s="25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5" t="s">
        <v>71</v>
      </c>
      <c r="BO131" s="25"/>
      <c r="BP131" s="25"/>
      <c r="BQ131" s="27" t="s">
        <v>71</v>
      </c>
    </row>
    <row r="132" spans="1:69" s="1" customFormat="1" ht="13.5" customHeight="1">
      <c r="A132" s="16" t="s">
        <v>222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197</v>
      </c>
      <c r="N132" s="23"/>
      <c r="O132" s="23"/>
      <c r="P132" s="31" t="s">
        <v>276</v>
      </c>
      <c r="Q132" s="31"/>
      <c r="R132" s="31"/>
      <c r="S132" s="31"/>
      <c r="T132" s="31"/>
      <c r="U132" s="24">
        <f>7170</f>
        <v>7170</v>
      </c>
      <c r="V132" s="24"/>
      <c r="W132" s="24"/>
      <c r="X132" s="25" t="s">
        <v>71</v>
      </c>
      <c r="Y132" s="25"/>
      <c r="Z132" s="25"/>
      <c r="AA132" s="25"/>
      <c r="AB132" s="24">
        <f>7170</f>
        <v>7170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7170</f>
        <v>7170</v>
      </c>
      <c r="AU132" s="24"/>
      <c r="AV132" s="24"/>
      <c r="AW132" s="25" t="s">
        <v>71</v>
      </c>
      <c r="AX132" s="25"/>
      <c r="AY132" s="25" t="s">
        <v>71</v>
      </c>
      <c r="AZ132" s="25"/>
      <c r="BA132" s="25" t="s">
        <v>71</v>
      </c>
      <c r="BB132" s="25"/>
      <c r="BC132" s="25"/>
      <c r="BD132" s="25" t="s">
        <v>71</v>
      </c>
      <c r="BE132" s="25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5" t="s">
        <v>71</v>
      </c>
      <c r="BO132" s="25"/>
      <c r="BP132" s="25"/>
      <c r="BQ132" s="27" t="s">
        <v>71</v>
      </c>
    </row>
    <row r="133" spans="1:69" s="1" customFormat="1" ht="24" customHeight="1">
      <c r="A133" s="16" t="s">
        <v>277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197</v>
      </c>
      <c r="N133" s="23"/>
      <c r="O133" s="23"/>
      <c r="P133" s="31" t="s">
        <v>278</v>
      </c>
      <c r="Q133" s="31"/>
      <c r="R133" s="31"/>
      <c r="S133" s="31"/>
      <c r="T133" s="31"/>
      <c r="U133" s="24">
        <f>618473.03</f>
        <v>618473.03</v>
      </c>
      <c r="V133" s="24"/>
      <c r="W133" s="24"/>
      <c r="X133" s="25" t="s">
        <v>71</v>
      </c>
      <c r="Y133" s="25"/>
      <c r="Z133" s="25"/>
      <c r="AA133" s="25"/>
      <c r="AB133" s="24">
        <f>618473.03</f>
        <v>618473.03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618473.03</f>
        <v>618473.03</v>
      </c>
      <c r="AU133" s="24"/>
      <c r="AV133" s="24"/>
      <c r="AW133" s="25" t="s">
        <v>71</v>
      </c>
      <c r="AX133" s="25"/>
      <c r="AY133" s="24">
        <f>553443.1</f>
        <v>553443.1</v>
      </c>
      <c r="AZ133" s="24"/>
      <c r="BA133" s="25" t="s">
        <v>71</v>
      </c>
      <c r="BB133" s="25"/>
      <c r="BC133" s="25"/>
      <c r="BD133" s="24">
        <f>553443.1</f>
        <v>553443.1</v>
      </c>
      <c r="BE133" s="24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4">
        <f>553443.1</f>
        <v>553443.1</v>
      </c>
      <c r="BO133" s="24"/>
      <c r="BP133" s="24"/>
      <c r="BQ133" s="27" t="s">
        <v>71</v>
      </c>
    </row>
    <row r="134" spans="1:69" s="1" customFormat="1" ht="13.5" customHeight="1">
      <c r="A134" s="16" t="s">
        <v>279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197</v>
      </c>
      <c r="N134" s="23"/>
      <c r="O134" s="23"/>
      <c r="P134" s="31" t="s">
        <v>280</v>
      </c>
      <c r="Q134" s="31"/>
      <c r="R134" s="31"/>
      <c r="S134" s="31"/>
      <c r="T134" s="31"/>
      <c r="U134" s="24">
        <f>618473.03</f>
        <v>618473.03</v>
      </c>
      <c r="V134" s="24"/>
      <c r="W134" s="24"/>
      <c r="X134" s="25" t="s">
        <v>71</v>
      </c>
      <c r="Y134" s="25"/>
      <c r="Z134" s="25"/>
      <c r="AA134" s="25"/>
      <c r="AB134" s="24">
        <f>618473.03</f>
        <v>618473.03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618473.03</f>
        <v>618473.03</v>
      </c>
      <c r="AU134" s="24"/>
      <c r="AV134" s="24"/>
      <c r="AW134" s="25" t="s">
        <v>71</v>
      </c>
      <c r="AX134" s="25"/>
      <c r="AY134" s="24">
        <f>553443.1</f>
        <v>553443.1</v>
      </c>
      <c r="AZ134" s="24"/>
      <c r="BA134" s="25" t="s">
        <v>71</v>
      </c>
      <c r="BB134" s="25"/>
      <c r="BC134" s="25"/>
      <c r="BD134" s="24">
        <f>553443.1</f>
        <v>553443.1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553443.1</f>
        <v>553443.1</v>
      </c>
      <c r="BO134" s="24"/>
      <c r="BP134" s="24"/>
      <c r="BQ134" s="27" t="s">
        <v>71</v>
      </c>
    </row>
    <row r="135" spans="1:69" s="1" customFormat="1" ht="24" customHeight="1">
      <c r="A135" s="16" t="s">
        <v>218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197</v>
      </c>
      <c r="N135" s="23"/>
      <c r="O135" s="23"/>
      <c r="P135" s="31" t="s">
        <v>281</v>
      </c>
      <c r="Q135" s="31"/>
      <c r="R135" s="31"/>
      <c r="S135" s="31"/>
      <c r="T135" s="31"/>
      <c r="U135" s="24">
        <f>618473.03</f>
        <v>618473.03</v>
      </c>
      <c r="V135" s="24"/>
      <c r="W135" s="24"/>
      <c r="X135" s="25" t="s">
        <v>71</v>
      </c>
      <c r="Y135" s="25"/>
      <c r="Z135" s="25"/>
      <c r="AA135" s="25"/>
      <c r="AB135" s="24">
        <f>618473.03</f>
        <v>618473.03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618473.03</f>
        <v>618473.03</v>
      </c>
      <c r="AU135" s="24"/>
      <c r="AV135" s="24"/>
      <c r="AW135" s="25" t="s">
        <v>71</v>
      </c>
      <c r="AX135" s="25"/>
      <c r="AY135" s="24">
        <f>553443.1</f>
        <v>553443.1</v>
      </c>
      <c r="AZ135" s="24"/>
      <c r="BA135" s="25" t="s">
        <v>71</v>
      </c>
      <c r="BB135" s="25"/>
      <c r="BC135" s="25"/>
      <c r="BD135" s="24">
        <f>553443.1</f>
        <v>553443.1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553443.1</f>
        <v>553443.1</v>
      </c>
      <c r="BO135" s="24"/>
      <c r="BP135" s="24"/>
      <c r="BQ135" s="27" t="s">
        <v>71</v>
      </c>
    </row>
    <row r="136" spans="1:69" s="1" customFormat="1" ht="24" customHeight="1">
      <c r="A136" s="16" t="s">
        <v>220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197</v>
      </c>
      <c r="N136" s="23"/>
      <c r="O136" s="23"/>
      <c r="P136" s="31" t="s">
        <v>282</v>
      </c>
      <c r="Q136" s="31"/>
      <c r="R136" s="31"/>
      <c r="S136" s="31"/>
      <c r="T136" s="31"/>
      <c r="U136" s="24">
        <f>618473.03</f>
        <v>618473.03</v>
      </c>
      <c r="V136" s="24"/>
      <c r="W136" s="24"/>
      <c r="X136" s="25" t="s">
        <v>71</v>
      </c>
      <c r="Y136" s="25"/>
      <c r="Z136" s="25"/>
      <c r="AA136" s="25"/>
      <c r="AB136" s="24">
        <f>618473.03</f>
        <v>618473.03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618473.03</f>
        <v>618473.03</v>
      </c>
      <c r="AU136" s="24"/>
      <c r="AV136" s="24"/>
      <c r="AW136" s="25" t="s">
        <v>71</v>
      </c>
      <c r="AX136" s="25"/>
      <c r="AY136" s="24">
        <f>553443.1</f>
        <v>553443.1</v>
      </c>
      <c r="AZ136" s="24"/>
      <c r="BA136" s="25" t="s">
        <v>71</v>
      </c>
      <c r="BB136" s="25"/>
      <c r="BC136" s="25"/>
      <c r="BD136" s="24">
        <f>553443.1</f>
        <v>553443.1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553443.1</f>
        <v>553443.1</v>
      </c>
      <c r="BO136" s="24"/>
      <c r="BP136" s="24"/>
      <c r="BQ136" s="27" t="s">
        <v>71</v>
      </c>
    </row>
    <row r="137" spans="1:69" s="1" customFormat="1" ht="13.5" customHeight="1">
      <c r="A137" s="16" t="s">
        <v>222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197</v>
      </c>
      <c r="N137" s="23"/>
      <c r="O137" s="23"/>
      <c r="P137" s="31" t="s">
        <v>283</v>
      </c>
      <c r="Q137" s="31"/>
      <c r="R137" s="31"/>
      <c r="S137" s="31"/>
      <c r="T137" s="31"/>
      <c r="U137" s="24">
        <f>618473.03</f>
        <v>618473.03</v>
      </c>
      <c r="V137" s="24"/>
      <c r="W137" s="24"/>
      <c r="X137" s="25" t="s">
        <v>71</v>
      </c>
      <c r="Y137" s="25"/>
      <c r="Z137" s="25"/>
      <c r="AA137" s="25"/>
      <c r="AB137" s="24">
        <f>618473.03</f>
        <v>618473.03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618473.03</f>
        <v>618473.03</v>
      </c>
      <c r="AU137" s="24"/>
      <c r="AV137" s="24"/>
      <c r="AW137" s="25" t="s">
        <v>71</v>
      </c>
      <c r="AX137" s="25"/>
      <c r="AY137" s="24">
        <f>553443.1</f>
        <v>553443.1</v>
      </c>
      <c r="AZ137" s="24"/>
      <c r="BA137" s="25" t="s">
        <v>71</v>
      </c>
      <c r="BB137" s="25"/>
      <c r="BC137" s="25"/>
      <c r="BD137" s="24">
        <f>553443.1</f>
        <v>553443.1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553443.1</f>
        <v>553443.1</v>
      </c>
      <c r="BO137" s="24"/>
      <c r="BP137" s="24"/>
      <c r="BQ137" s="27" t="s">
        <v>71</v>
      </c>
    </row>
    <row r="138" spans="1:69" s="1" customFormat="1" ht="13.5" customHeight="1">
      <c r="A138" s="16" t="s">
        <v>284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197</v>
      </c>
      <c r="N138" s="23"/>
      <c r="O138" s="23"/>
      <c r="P138" s="31" t="s">
        <v>285</v>
      </c>
      <c r="Q138" s="31"/>
      <c r="R138" s="31"/>
      <c r="S138" s="31"/>
      <c r="T138" s="31"/>
      <c r="U138" s="24">
        <f>11197927.34</f>
        <v>11197927.34</v>
      </c>
      <c r="V138" s="24"/>
      <c r="W138" s="24"/>
      <c r="X138" s="25" t="s">
        <v>71</v>
      </c>
      <c r="Y138" s="25"/>
      <c r="Z138" s="25"/>
      <c r="AA138" s="25"/>
      <c r="AB138" s="24">
        <f>11197927.34</f>
        <v>11197927.34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11197927.34</f>
        <v>11197927.34</v>
      </c>
      <c r="AU138" s="24"/>
      <c r="AV138" s="24"/>
      <c r="AW138" s="25" t="s">
        <v>71</v>
      </c>
      <c r="AX138" s="25"/>
      <c r="AY138" s="24">
        <f>8672317.4</f>
        <v>8672317.4</v>
      </c>
      <c r="AZ138" s="24"/>
      <c r="BA138" s="25" t="s">
        <v>71</v>
      </c>
      <c r="BB138" s="25"/>
      <c r="BC138" s="25"/>
      <c r="BD138" s="24">
        <f>8672317.4</f>
        <v>8672317.4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8672317.4</f>
        <v>8672317.4</v>
      </c>
      <c r="BO138" s="24"/>
      <c r="BP138" s="24"/>
      <c r="BQ138" s="27" t="s">
        <v>71</v>
      </c>
    </row>
    <row r="139" spans="1:69" s="1" customFormat="1" ht="13.5" customHeight="1">
      <c r="A139" s="16" t="s">
        <v>286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197</v>
      </c>
      <c r="N139" s="23"/>
      <c r="O139" s="23"/>
      <c r="P139" s="31" t="s">
        <v>287</v>
      </c>
      <c r="Q139" s="31"/>
      <c r="R139" s="31"/>
      <c r="S139" s="31"/>
      <c r="T139" s="31"/>
      <c r="U139" s="24">
        <f>10997927.34</f>
        <v>10997927.34</v>
      </c>
      <c r="V139" s="24"/>
      <c r="W139" s="24"/>
      <c r="X139" s="25" t="s">
        <v>71</v>
      </c>
      <c r="Y139" s="25"/>
      <c r="Z139" s="25"/>
      <c r="AA139" s="25"/>
      <c r="AB139" s="24">
        <f>10997927.34</f>
        <v>10997927.34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10997927.34</f>
        <v>10997927.34</v>
      </c>
      <c r="AU139" s="24"/>
      <c r="AV139" s="24"/>
      <c r="AW139" s="25" t="s">
        <v>71</v>
      </c>
      <c r="AX139" s="25"/>
      <c r="AY139" s="24">
        <f>8641417.4</f>
        <v>8641417.4</v>
      </c>
      <c r="AZ139" s="24"/>
      <c r="BA139" s="25" t="s">
        <v>71</v>
      </c>
      <c r="BB139" s="25"/>
      <c r="BC139" s="25"/>
      <c r="BD139" s="24">
        <f>8641417.4</f>
        <v>8641417.4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8641417.4</f>
        <v>8641417.4</v>
      </c>
      <c r="BO139" s="24"/>
      <c r="BP139" s="24"/>
      <c r="BQ139" s="27" t="s">
        <v>71</v>
      </c>
    </row>
    <row r="140" spans="1:69" s="1" customFormat="1" ht="24" customHeight="1">
      <c r="A140" s="16" t="s">
        <v>218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197</v>
      </c>
      <c r="N140" s="23"/>
      <c r="O140" s="23"/>
      <c r="P140" s="31" t="s">
        <v>288</v>
      </c>
      <c r="Q140" s="31"/>
      <c r="R140" s="31"/>
      <c r="S140" s="31"/>
      <c r="T140" s="31"/>
      <c r="U140" s="24">
        <f>10997927.34</f>
        <v>10997927.34</v>
      </c>
      <c r="V140" s="24"/>
      <c r="W140" s="24"/>
      <c r="X140" s="25" t="s">
        <v>71</v>
      </c>
      <c r="Y140" s="25"/>
      <c r="Z140" s="25"/>
      <c r="AA140" s="25"/>
      <c r="AB140" s="24">
        <f>10997927.34</f>
        <v>10997927.34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10997927.34</f>
        <v>10997927.34</v>
      </c>
      <c r="AU140" s="24"/>
      <c r="AV140" s="24"/>
      <c r="AW140" s="25" t="s">
        <v>71</v>
      </c>
      <c r="AX140" s="25"/>
      <c r="AY140" s="24">
        <f>8641417.4</f>
        <v>8641417.4</v>
      </c>
      <c r="AZ140" s="24"/>
      <c r="BA140" s="25" t="s">
        <v>71</v>
      </c>
      <c r="BB140" s="25"/>
      <c r="BC140" s="25"/>
      <c r="BD140" s="24">
        <f>8641417.4</f>
        <v>8641417.4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8641417.4</f>
        <v>8641417.4</v>
      </c>
      <c r="BO140" s="24"/>
      <c r="BP140" s="24"/>
      <c r="BQ140" s="27" t="s">
        <v>71</v>
      </c>
    </row>
    <row r="141" spans="1:69" s="1" customFormat="1" ht="24" customHeight="1">
      <c r="A141" s="16" t="s">
        <v>220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197</v>
      </c>
      <c r="N141" s="23"/>
      <c r="O141" s="23"/>
      <c r="P141" s="31" t="s">
        <v>289</v>
      </c>
      <c r="Q141" s="31"/>
      <c r="R141" s="31"/>
      <c r="S141" s="31"/>
      <c r="T141" s="31"/>
      <c r="U141" s="24">
        <f>10997927.34</f>
        <v>10997927.34</v>
      </c>
      <c r="V141" s="24"/>
      <c r="W141" s="24"/>
      <c r="X141" s="25" t="s">
        <v>71</v>
      </c>
      <c r="Y141" s="25"/>
      <c r="Z141" s="25"/>
      <c r="AA141" s="25"/>
      <c r="AB141" s="24">
        <f>10997927.34</f>
        <v>10997927.34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10997927.34</f>
        <v>10997927.34</v>
      </c>
      <c r="AU141" s="24"/>
      <c r="AV141" s="24"/>
      <c r="AW141" s="25" t="s">
        <v>71</v>
      </c>
      <c r="AX141" s="25"/>
      <c r="AY141" s="24">
        <f>8641417.4</f>
        <v>8641417.4</v>
      </c>
      <c r="AZ141" s="24"/>
      <c r="BA141" s="25" t="s">
        <v>71</v>
      </c>
      <c r="BB141" s="25"/>
      <c r="BC141" s="25"/>
      <c r="BD141" s="24">
        <f>8641417.4</f>
        <v>8641417.4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8641417.4</f>
        <v>8641417.4</v>
      </c>
      <c r="BO141" s="24"/>
      <c r="BP141" s="24"/>
      <c r="BQ141" s="27" t="s">
        <v>71</v>
      </c>
    </row>
    <row r="142" spans="1:69" s="1" customFormat="1" ht="13.5" customHeight="1">
      <c r="A142" s="16" t="s">
        <v>222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197</v>
      </c>
      <c r="N142" s="23"/>
      <c r="O142" s="23"/>
      <c r="P142" s="31" t="s">
        <v>290</v>
      </c>
      <c r="Q142" s="31"/>
      <c r="R142" s="31"/>
      <c r="S142" s="31"/>
      <c r="T142" s="31"/>
      <c r="U142" s="24">
        <f>10997927.34</f>
        <v>10997927.34</v>
      </c>
      <c r="V142" s="24"/>
      <c r="W142" s="24"/>
      <c r="X142" s="25" t="s">
        <v>71</v>
      </c>
      <c r="Y142" s="25"/>
      <c r="Z142" s="25"/>
      <c r="AA142" s="25"/>
      <c r="AB142" s="24">
        <f>10997927.34</f>
        <v>10997927.34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10997927.34</f>
        <v>10997927.34</v>
      </c>
      <c r="AU142" s="24"/>
      <c r="AV142" s="24"/>
      <c r="AW142" s="25" t="s">
        <v>71</v>
      </c>
      <c r="AX142" s="25"/>
      <c r="AY142" s="24">
        <f>8641417.4</f>
        <v>8641417.4</v>
      </c>
      <c r="AZ142" s="24"/>
      <c r="BA142" s="25" t="s">
        <v>71</v>
      </c>
      <c r="BB142" s="25"/>
      <c r="BC142" s="25"/>
      <c r="BD142" s="24">
        <f>8641417.4</f>
        <v>8641417.4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8641417.4</f>
        <v>8641417.4</v>
      </c>
      <c r="BO142" s="24"/>
      <c r="BP142" s="24"/>
      <c r="BQ142" s="27" t="s">
        <v>71</v>
      </c>
    </row>
    <row r="143" spans="1:69" s="1" customFormat="1" ht="13.5" customHeight="1">
      <c r="A143" s="16" t="s">
        <v>291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197</v>
      </c>
      <c r="N143" s="23"/>
      <c r="O143" s="23"/>
      <c r="P143" s="31" t="s">
        <v>292</v>
      </c>
      <c r="Q143" s="31"/>
      <c r="R143" s="31"/>
      <c r="S143" s="31"/>
      <c r="T143" s="31"/>
      <c r="U143" s="24">
        <f>200000</f>
        <v>200000</v>
      </c>
      <c r="V143" s="24"/>
      <c r="W143" s="24"/>
      <c r="X143" s="25" t="s">
        <v>71</v>
      </c>
      <c r="Y143" s="25"/>
      <c r="Z143" s="25"/>
      <c r="AA143" s="25"/>
      <c r="AB143" s="24">
        <f>200000</f>
        <v>200000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200000</f>
        <v>200000</v>
      </c>
      <c r="AU143" s="24"/>
      <c r="AV143" s="24"/>
      <c r="AW143" s="25" t="s">
        <v>71</v>
      </c>
      <c r="AX143" s="25"/>
      <c r="AY143" s="24">
        <f>30900</f>
        <v>30900</v>
      </c>
      <c r="AZ143" s="24"/>
      <c r="BA143" s="25" t="s">
        <v>71</v>
      </c>
      <c r="BB143" s="25"/>
      <c r="BC143" s="25"/>
      <c r="BD143" s="24">
        <f>30900</f>
        <v>30900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30900</f>
        <v>30900</v>
      </c>
      <c r="BO143" s="24"/>
      <c r="BP143" s="24"/>
      <c r="BQ143" s="27" t="s">
        <v>71</v>
      </c>
    </row>
    <row r="144" spans="1:69" s="1" customFormat="1" ht="24" customHeight="1">
      <c r="A144" s="16" t="s">
        <v>218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197</v>
      </c>
      <c r="N144" s="23"/>
      <c r="O144" s="23"/>
      <c r="P144" s="31" t="s">
        <v>293</v>
      </c>
      <c r="Q144" s="31"/>
      <c r="R144" s="31"/>
      <c r="S144" s="31"/>
      <c r="T144" s="31"/>
      <c r="U144" s="24">
        <f>200000</f>
        <v>200000</v>
      </c>
      <c r="V144" s="24"/>
      <c r="W144" s="24"/>
      <c r="X144" s="25" t="s">
        <v>71</v>
      </c>
      <c r="Y144" s="25"/>
      <c r="Z144" s="25"/>
      <c r="AA144" s="25"/>
      <c r="AB144" s="24">
        <f>200000</f>
        <v>200000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200000</f>
        <v>200000</v>
      </c>
      <c r="AU144" s="24"/>
      <c r="AV144" s="24"/>
      <c r="AW144" s="25" t="s">
        <v>71</v>
      </c>
      <c r="AX144" s="25"/>
      <c r="AY144" s="24">
        <f>30900</f>
        <v>30900</v>
      </c>
      <c r="AZ144" s="24"/>
      <c r="BA144" s="25" t="s">
        <v>71</v>
      </c>
      <c r="BB144" s="25"/>
      <c r="BC144" s="25"/>
      <c r="BD144" s="24">
        <f>30900</f>
        <v>30900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30900</f>
        <v>30900</v>
      </c>
      <c r="BO144" s="24"/>
      <c r="BP144" s="24"/>
      <c r="BQ144" s="27" t="s">
        <v>71</v>
      </c>
    </row>
    <row r="145" spans="1:69" s="1" customFormat="1" ht="24" customHeight="1">
      <c r="A145" s="16" t="s">
        <v>220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197</v>
      </c>
      <c r="N145" s="23"/>
      <c r="O145" s="23"/>
      <c r="P145" s="31" t="s">
        <v>294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71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200000</f>
        <v>200000</v>
      </c>
      <c r="AU145" s="24"/>
      <c r="AV145" s="24"/>
      <c r="AW145" s="25" t="s">
        <v>71</v>
      </c>
      <c r="AX145" s="25"/>
      <c r="AY145" s="24">
        <f>30900</f>
        <v>30900</v>
      </c>
      <c r="AZ145" s="24"/>
      <c r="BA145" s="25" t="s">
        <v>71</v>
      </c>
      <c r="BB145" s="25"/>
      <c r="BC145" s="25"/>
      <c r="BD145" s="24">
        <f>30900</f>
        <v>30900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30900</f>
        <v>30900</v>
      </c>
      <c r="BO145" s="24"/>
      <c r="BP145" s="24"/>
      <c r="BQ145" s="27" t="s">
        <v>71</v>
      </c>
    </row>
    <row r="146" spans="1:69" s="1" customFormat="1" ht="13.5" customHeight="1">
      <c r="A146" s="16" t="s">
        <v>222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197</v>
      </c>
      <c r="N146" s="23"/>
      <c r="O146" s="23"/>
      <c r="P146" s="31" t="s">
        <v>295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71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200000</f>
        <v>200000</v>
      </c>
      <c r="AU146" s="24"/>
      <c r="AV146" s="24"/>
      <c r="AW146" s="25" t="s">
        <v>71</v>
      </c>
      <c r="AX146" s="25"/>
      <c r="AY146" s="24">
        <f>30900</f>
        <v>30900</v>
      </c>
      <c r="AZ146" s="24"/>
      <c r="BA146" s="25" t="s">
        <v>71</v>
      </c>
      <c r="BB146" s="25"/>
      <c r="BC146" s="25"/>
      <c r="BD146" s="24">
        <f>30900</f>
        <v>30900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30900</f>
        <v>30900</v>
      </c>
      <c r="BO146" s="24"/>
      <c r="BP146" s="24"/>
      <c r="BQ146" s="27" t="s">
        <v>71</v>
      </c>
    </row>
    <row r="147" spans="1:69" s="1" customFormat="1" ht="13.5" customHeight="1">
      <c r="A147" s="16" t="s">
        <v>296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197</v>
      </c>
      <c r="N147" s="23"/>
      <c r="O147" s="23"/>
      <c r="P147" s="31" t="s">
        <v>297</v>
      </c>
      <c r="Q147" s="31"/>
      <c r="R147" s="31"/>
      <c r="S147" s="31"/>
      <c r="T147" s="31"/>
      <c r="U147" s="24">
        <f>12147853.35</f>
        <v>12147853.35</v>
      </c>
      <c r="V147" s="24"/>
      <c r="W147" s="24"/>
      <c r="X147" s="25" t="s">
        <v>71</v>
      </c>
      <c r="Y147" s="25"/>
      <c r="Z147" s="25"/>
      <c r="AA147" s="25"/>
      <c r="AB147" s="24">
        <f>12147853.35</f>
        <v>12147853.35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12147853.35</f>
        <v>12147853.35</v>
      </c>
      <c r="AU147" s="24"/>
      <c r="AV147" s="24"/>
      <c r="AW147" s="25" t="s">
        <v>71</v>
      </c>
      <c r="AX147" s="25"/>
      <c r="AY147" s="24">
        <f>9822120.45</f>
        <v>9822120.45</v>
      </c>
      <c r="AZ147" s="24"/>
      <c r="BA147" s="25" t="s">
        <v>71</v>
      </c>
      <c r="BB147" s="25"/>
      <c r="BC147" s="25"/>
      <c r="BD147" s="24">
        <f>9822120.45</f>
        <v>9822120.45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9822120.45</f>
        <v>9822120.45</v>
      </c>
      <c r="BO147" s="24"/>
      <c r="BP147" s="24"/>
      <c r="BQ147" s="27" t="s">
        <v>71</v>
      </c>
    </row>
    <row r="148" spans="1:69" s="1" customFormat="1" ht="13.5" customHeight="1">
      <c r="A148" s="16" t="s">
        <v>298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197</v>
      </c>
      <c r="N148" s="23"/>
      <c r="O148" s="23"/>
      <c r="P148" s="31" t="s">
        <v>299</v>
      </c>
      <c r="Q148" s="31"/>
      <c r="R148" s="31"/>
      <c r="S148" s="31"/>
      <c r="T148" s="31"/>
      <c r="U148" s="24">
        <f>686275</f>
        <v>686275</v>
      </c>
      <c r="V148" s="24"/>
      <c r="W148" s="24"/>
      <c r="X148" s="25" t="s">
        <v>71</v>
      </c>
      <c r="Y148" s="25"/>
      <c r="Z148" s="25"/>
      <c r="AA148" s="25"/>
      <c r="AB148" s="24">
        <f>686275</f>
        <v>686275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686275</f>
        <v>686275</v>
      </c>
      <c r="AU148" s="24"/>
      <c r="AV148" s="24"/>
      <c r="AW148" s="25" t="s">
        <v>71</v>
      </c>
      <c r="AX148" s="25"/>
      <c r="AY148" s="24">
        <f>454341.42</f>
        <v>454341.42</v>
      </c>
      <c r="AZ148" s="24"/>
      <c r="BA148" s="25" t="s">
        <v>71</v>
      </c>
      <c r="BB148" s="25"/>
      <c r="BC148" s="25"/>
      <c r="BD148" s="24">
        <f>454341.42</f>
        <v>454341.42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454341.42</f>
        <v>454341.42</v>
      </c>
      <c r="BO148" s="24"/>
      <c r="BP148" s="24"/>
      <c r="BQ148" s="27" t="s">
        <v>71</v>
      </c>
    </row>
    <row r="149" spans="1:69" s="1" customFormat="1" ht="24" customHeight="1">
      <c r="A149" s="16" t="s">
        <v>218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197</v>
      </c>
      <c r="N149" s="23"/>
      <c r="O149" s="23"/>
      <c r="P149" s="31" t="s">
        <v>300</v>
      </c>
      <c r="Q149" s="31"/>
      <c r="R149" s="31"/>
      <c r="S149" s="31"/>
      <c r="T149" s="31"/>
      <c r="U149" s="24">
        <f>686275</f>
        <v>686275</v>
      </c>
      <c r="V149" s="24"/>
      <c r="W149" s="24"/>
      <c r="X149" s="25" t="s">
        <v>71</v>
      </c>
      <c r="Y149" s="25"/>
      <c r="Z149" s="25"/>
      <c r="AA149" s="25"/>
      <c r="AB149" s="24">
        <f>686275</f>
        <v>686275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686275</f>
        <v>686275</v>
      </c>
      <c r="AU149" s="24"/>
      <c r="AV149" s="24"/>
      <c r="AW149" s="25" t="s">
        <v>71</v>
      </c>
      <c r="AX149" s="25"/>
      <c r="AY149" s="24">
        <f>454341.42</f>
        <v>454341.42</v>
      </c>
      <c r="AZ149" s="24"/>
      <c r="BA149" s="25" t="s">
        <v>71</v>
      </c>
      <c r="BB149" s="25"/>
      <c r="BC149" s="25"/>
      <c r="BD149" s="24">
        <f>454341.42</f>
        <v>454341.42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454341.42</f>
        <v>454341.42</v>
      </c>
      <c r="BO149" s="24"/>
      <c r="BP149" s="24"/>
      <c r="BQ149" s="27" t="s">
        <v>71</v>
      </c>
    </row>
    <row r="150" spans="1:69" s="1" customFormat="1" ht="24" customHeight="1">
      <c r="A150" s="16" t="s">
        <v>220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197</v>
      </c>
      <c r="N150" s="23"/>
      <c r="O150" s="23"/>
      <c r="P150" s="31" t="s">
        <v>301</v>
      </c>
      <c r="Q150" s="31"/>
      <c r="R150" s="31"/>
      <c r="S150" s="31"/>
      <c r="T150" s="31"/>
      <c r="U150" s="24">
        <f>686275</f>
        <v>686275</v>
      </c>
      <c r="V150" s="24"/>
      <c r="W150" s="24"/>
      <c r="X150" s="25" t="s">
        <v>71</v>
      </c>
      <c r="Y150" s="25"/>
      <c r="Z150" s="25"/>
      <c r="AA150" s="25"/>
      <c r="AB150" s="24">
        <f>686275</f>
        <v>686275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686275</f>
        <v>686275</v>
      </c>
      <c r="AU150" s="24"/>
      <c r="AV150" s="24"/>
      <c r="AW150" s="25" t="s">
        <v>71</v>
      </c>
      <c r="AX150" s="25"/>
      <c r="AY150" s="24">
        <f>454341.42</f>
        <v>454341.42</v>
      </c>
      <c r="AZ150" s="24"/>
      <c r="BA150" s="25" t="s">
        <v>71</v>
      </c>
      <c r="BB150" s="25"/>
      <c r="BC150" s="25"/>
      <c r="BD150" s="24">
        <f>454341.42</f>
        <v>454341.42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454341.42</f>
        <v>454341.42</v>
      </c>
      <c r="BO150" s="24"/>
      <c r="BP150" s="24"/>
      <c r="BQ150" s="27" t="s">
        <v>71</v>
      </c>
    </row>
    <row r="151" spans="1:69" s="1" customFormat="1" ht="13.5" customHeight="1">
      <c r="A151" s="16" t="s">
        <v>222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197</v>
      </c>
      <c r="N151" s="23"/>
      <c r="O151" s="23"/>
      <c r="P151" s="31" t="s">
        <v>302</v>
      </c>
      <c r="Q151" s="31"/>
      <c r="R151" s="31"/>
      <c r="S151" s="31"/>
      <c r="T151" s="31"/>
      <c r="U151" s="24">
        <f>686275</f>
        <v>686275</v>
      </c>
      <c r="V151" s="24"/>
      <c r="W151" s="24"/>
      <c r="X151" s="25" t="s">
        <v>71</v>
      </c>
      <c r="Y151" s="25"/>
      <c r="Z151" s="25"/>
      <c r="AA151" s="25"/>
      <c r="AB151" s="24">
        <f>686275</f>
        <v>686275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686275</f>
        <v>686275</v>
      </c>
      <c r="AU151" s="24"/>
      <c r="AV151" s="24"/>
      <c r="AW151" s="25" t="s">
        <v>71</v>
      </c>
      <c r="AX151" s="25"/>
      <c r="AY151" s="24">
        <f>454341.42</f>
        <v>454341.42</v>
      </c>
      <c r="AZ151" s="24"/>
      <c r="BA151" s="25" t="s">
        <v>71</v>
      </c>
      <c r="BB151" s="25"/>
      <c r="BC151" s="25"/>
      <c r="BD151" s="24">
        <f>454341.42</f>
        <v>454341.42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454341.42</f>
        <v>454341.42</v>
      </c>
      <c r="BO151" s="24"/>
      <c r="BP151" s="24"/>
      <c r="BQ151" s="27" t="s">
        <v>71</v>
      </c>
    </row>
    <row r="152" spans="1:69" s="1" customFormat="1" ht="13.5" customHeight="1">
      <c r="A152" s="16" t="s">
        <v>303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197</v>
      </c>
      <c r="N152" s="23"/>
      <c r="O152" s="23"/>
      <c r="P152" s="31" t="s">
        <v>304</v>
      </c>
      <c r="Q152" s="31"/>
      <c r="R152" s="31"/>
      <c r="S152" s="31"/>
      <c r="T152" s="31"/>
      <c r="U152" s="24">
        <f>11461578.35</f>
        <v>11461578.35</v>
      </c>
      <c r="V152" s="24"/>
      <c r="W152" s="24"/>
      <c r="X152" s="25" t="s">
        <v>71</v>
      </c>
      <c r="Y152" s="25"/>
      <c r="Z152" s="25"/>
      <c r="AA152" s="25"/>
      <c r="AB152" s="24">
        <f>11461578.35</f>
        <v>11461578.35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11461578.35</f>
        <v>11461578.35</v>
      </c>
      <c r="AU152" s="24"/>
      <c r="AV152" s="24"/>
      <c r="AW152" s="25" t="s">
        <v>71</v>
      </c>
      <c r="AX152" s="25"/>
      <c r="AY152" s="24">
        <f>9367779.03</f>
        <v>9367779.03</v>
      </c>
      <c r="AZ152" s="24"/>
      <c r="BA152" s="25" t="s">
        <v>71</v>
      </c>
      <c r="BB152" s="25"/>
      <c r="BC152" s="25"/>
      <c r="BD152" s="24">
        <f>9367779.03</f>
        <v>9367779.03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9367779.03</f>
        <v>9367779.03</v>
      </c>
      <c r="BO152" s="24"/>
      <c r="BP152" s="24"/>
      <c r="BQ152" s="27" t="s">
        <v>71</v>
      </c>
    </row>
    <row r="153" spans="1:69" s="1" customFormat="1" ht="54.75" customHeight="1">
      <c r="A153" s="16" t="s">
        <v>202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197</v>
      </c>
      <c r="N153" s="23"/>
      <c r="O153" s="23"/>
      <c r="P153" s="31" t="s">
        <v>305</v>
      </c>
      <c r="Q153" s="31"/>
      <c r="R153" s="31"/>
      <c r="S153" s="31"/>
      <c r="T153" s="31"/>
      <c r="U153" s="24">
        <f>2020348</f>
        <v>2020348</v>
      </c>
      <c r="V153" s="24"/>
      <c r="W153" s="24"/>
      <c r="X153" s="25" t="s">
        <v>71</v>
      </c>
      <c r="Y153" s="25"/>
      <c r="Z153" s="25"/>
      <c r="AA153" s="25"/>
      <c r="AB153" s="24">
        <f>2020348</f>
        <v>2020348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2020348</f>
        <v>2020348</v>
      </c>
      <c r="AU153" s="24"/>
      <c r="AV153" s="24"/>
      <c r="AW153" s="25" t="s">
        <v>71</v>
      </c>
      <c r="AX153" s="25"/>
      <c r="AY153" s="24">
        <f>1390164.38</f>
        <v>1390164.38</v>
      </c>
      <c r="AZ153" s="24"/>
      <c r="BA153" s="25" t="s">
        <v>71</v>
      </c>
      <c r="BB153" s="25"/>
      <c r="BC153" s="25"/>
      <c r="BD153" s="24">
        <f>1390164.38</f>
        <v>1390164.38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1390164.38</f>
        <v>1390164.38</v>
      </c>
      <c r="BO153" s="24"/>
      <c r="BP153" s="24"/>
      <c r="BQ153" s="27" t="s">
        <v>71</v>
      </c>
    </row>
    <row r="154" spans="1:69" s="1" customFormat="1" ht="13.5" customHeight="1">
      <c r="A154" s="16" t="s">
        <v>250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197</v>
      </c>
      <c r="N154" s="23"/>
      <c r="O154" s="23"/>
      <c r="P154" s="31" t="s">
        <v>306</v>
      </c>
      <c r="Q154" s="31"/>
      <c r="R154" s="31"/>
      <c r="S154" s="31"/>
      <c r="T154" s="31"/>
      <c r="U154" s="24">
        <f>2020348</f>
        <v>2020348</v>
      </c>
      <c r="V154" s="24"/>
      <c r="W154" s="24"/>
      <c r="X154" s="25" t="s">
        <v>71</v>
      </c>
      <c r="Y154" s="25"/>
      <c r="Z154" s="25"/>
      <c r="AA154" s="25"/>
      <c r="AB154" s="24">
        <f>2020348</f>
        <v>2020348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2020348</f>
        <v>2020348</v>
      </c>
      <c r="AU154" s="24"/>
      <c r="AV154" s="24"/>
      <c r="AW154" s="25" t="s">
        <v>71</v>
      </c>
      <c r="AX154" s="25"/>
      <c r="AY154" s="24">
        <f>1390164.38</f>
        <v>1390164.38</v>
      </c>
      <c r="AZ154" s="24"/>
      <c r="BA154" s="25" t="s">
        <v>71</v>
      </c>
      <c r="BB154" s="25"/>
      <c r="BC154" s="25"/>
      <c r="BD154" s="24">
        <f>1390164.38</f>
        <v>1390164.38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1390164.38</f>
        <v>1390164.38</v>
      </c>
      <c r="BO154" s="24"/>
      <c r="BP154" s="24"/>
      <c r="BQ154" s="27" t="s">
        <v>71</v>
      </c>
    </row>
    <row r="155" spans="1:69" s="1" customFormat="1" ht="13.5" customHeight="1">
      <c r="A155" s="16" t="s">
        <v>252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197</v>
      </c>
      <c r="N155" s="23"/>
      <c r="O155" s="23"/>
      <c r="P155" s="31" t="s">
        <v>307</v>
      </c>
      <c r="Q155" s="31"/>
      <c r="R155" s="31"/>
      <c r="S155" s="31"/>
      <c r="T155" s="31"/>
      <c r="U155" s="24">
        <f>1551726</f>
        <v>1551726</v>
      </c>
      <c r="V155" s="24"/>
      <c r="W155" s="24"/>
      <c r="X155" s="25" t="s">
        <v>71</v>
      </c>
      <c r="Y155" s="25"/>
      <c r="Z155" s="25"/>
      <c r="AA155" s="25"/>
      <c r="AB155" s="24">
        <f>1551726</f>
        <v>1551726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1551726</f>
        <v>1551726</v>
      </c>
      <c r="AU155" s="24"/>
      <c r="AV155" s="24"/>
      <c r="AW155" s="25" t="s">
        <v>71</v>
      </c>
      <c r="AX155" s="25"/>
      <c r="AY155" s="24">
        <f>1076988.6</f>
        <v>1076988.6</v>
      </c>
      <c r="AZ155" s="24"/>
      <c r="BA155" s="25" t="s">
        <v>71</v>
      </c>
      <c r="BB155" s="25"/>
      <c r="BC155" s="25"/>
      <c r="BD155" s="24">
        <f>1076988.6</f>
        <v>1076988.6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1076988.6</f>
        <v>1076988.6</v>
      </c>
      <c r="BO155" s="24"/>
      <c r="BP155" s="24"/>
      <c r="BQ155" s="27" t="s">
        <v>71</v>
      </c>
    </row>
    <row r="156" spans="1:69" s="1" customFormat="1" ht="33.75" customHeight="1">
      <c r="A156" s="16" t="s">
        <v>256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197</v>
      </c>
      <c r="N156" s="23"/>
      <c r="O156" s="23"/>
      <c r="P156" s="31" t="s">
        <v>308</v>
      </c>
      <c r="Q156" s="31"/>
      <c r="R156" s="31"/>
      <c r="S156" s="31"/>
      <c r="T156" s="31"/>
      <c r="U156" s="24">
        <f>468622</f>
        <v>468622</v>
      </c>
      <c r="V156" s="24"/>
      <c r="W156" s="24"/>
      <c r="X156" s="25" t="s">
        <v>71</v>
      </c>
      <c r="Y156" s="25"/>
      <c r="Z156" s="25"/>
      <c r="AA156" s="25"/>
      <c r="AB156" s="24">
        <f>468622</f>
        <v>468622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468622</f>
        <v>468622</v>
      </c>
      <c r="AU156" s="24"/>
      <c r="AV156" s="24"/>
      <c r="AW156" s="25" t="s">
        <v>71</v>
      </c>
      <c r="AX156" s="25"/>
      <c r="AY156" s="24">
        <f>313175.78</f>
        <v>313175.78</v>
      </c>
      <c r="AZ156" s="24"/>
      <c r="BA156" s="25" t="s">
        <v>71</v>
      </c>
      <c r="BB156" s="25"/>
      <c r="BC156" s="25"/>
      <c r="BD156" s="24">
        <f>313175.78</f>
        <v>313175.78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313175.78</f>
        <v>313175.78</v>
      </c>
      <c r="BO156" s="24"/>
      <c r="BP156" s="24"/>
      <c r="BQ156" s="27" t="s">
        <v>71</v>
      </c>
    </row>
    <row r="157" spans="1:69" s="1" customFormat="1" ht="24" customHeight="1">
      <c r="A157" s="16" t="s">
        <v>218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197</v>
      </c>
      <c r="N157" s="23"/>
      <c r="O157" s="23"/>
      <c r="P157" s="31" t="s">
        <v>309</v>
      </c>
      <c r="Q157" s="31"/>
      <c r="R157" s="31"/>
      <c r="S157" s="31"/>
      <c r="T157" s="31"/>
      <c r="U157" s="24">
        <f>9363730.35</f>
        <v>9363730.35</v>
      </c>
      <c r="V157" s="24"/>
      <c r="W157" s="24"/>
      <c r="X157" s="25" t="s">
        <v>71</v>
      </c>
      <c r="Y157" s="25"/>
      <c r="Z157" s="25"/>
      <c r="AA157" s="25"/>
      <c r="AB157" s="24">
        <f>9363730.35</f>
        <v>9363730.35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9363730.35</f>
        <v>9363730.35</v>
      </c>
      <c r="AU157" s="24"/>
      <c r="AV157" s="24"/>
      <c r="AW157" s="25" t="s">
        <v>71</v>
      </c>
      <c r="AX157" s="25"/>
      <c r="AY157" s="24">
        <f>7902514.65</f>
        <v>7902514.65</v>
      </c>
      <c r="AZ157" s="24"/>
      <c r="BA157" s="25" t="s">
        <v>71</v>
      </c>
      <c r="BB157" s="25"/>
      <c r="BC157" s="25"/>
      <c r="BD157" s="24">
        <f>7902514.65</f>
        <v>7902514.65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7902514.65</f>
        <v>7902514.65</v>
      </c>
      <c r="BO157" s="24"/>
      <c r="BP157" s="24"/>
      <c r="BQ157" s="27" t="s">
        <v>71</v>
      </c>
    </row>
    <row r="158" spans="1:69" s="1" customFormat="1" ht="24" customHeight="1">
      <c r="A158" s="16" t="s">
        <v>220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197</v>
      </c>
      <c r="N158" s="23"/>
      <c r="O158" s="23"/>
      <c r="P158" s="31" t="s">
        <v>310</v>
      </c>
      <c r="Q158" s="31"/>
      <c r="R158" s="31"/>
      <c r="S158" s="31"/>
      <c r="T158" s="31"/>
      <c r="U158" s="24">
        <f>9363730.35</f>
        <v>9363730.35</v>
      </c>
      <c r="V158" s="24"/>
      <c r="W158" s="24"/>
      <c r="X158" s="25" t="s">
        <v>71</v>
      </c>
      <c r="Y158" s="25"/>
      <c r="Z158" s="25"/>
      <c r="AA158" s="25"/>
      <c r="AB158" s="24">
        <f>9363730.35</f>
        <v>9363730.35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9363730.35</f>
        <v>9363730.35</v>
      </c>
      <c r="AU158" s="24"/>
      <c r="AV158" s="24"/>
      <c r="AW158" s="25" t="s">
        <v>71</v>
      </c>
      <c r="AX158" s="25"/>
      <c r="AY158" s="24">
        <f>7902514.65</f>
        <v>7902514.65</v>
      </c>
      <c r="AZ158" s="24"/>
      <c r="BA158" s="25" t="s">
        <v>71</v>
      </c>
      <c r="BB158" s="25"/>
      <c r="BC158" s="25"/>
      <c r="BD158" s="24">
        <f>7902514.65</f>
        <v>7902514.65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7902514.65</f>
        <v>7902514.65</v>
      </c>
      <c r="BO158" s="24"/>
      <c r="BP158" s="24"/>
      <c r="BQ158" s="27" t="s">
        <v>71</v>
      </c>
    </row>
    <row r="159" spans="1:69" s="1" customFormat="1" ht="13.5" customHeight="1">
      <c r="A159" s="16" t="s">
        <v>222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197</v>
      </c>
      <c r="N159" s="23"/>
      <c r="O159" s="23"/>
      <c r="P159" s="31" t="s">
        <v>311</v>
      </c>
      <c r="Q159" s="31"/>
      <c r="R159" s="31"/>
      <c r="S159" s="31"/>
      <c r="T159" s="31"/>
      <c r="U159" s="24">
        <f>9363730.35</f>
        <v>9363730.35</v>
      </c>
      <c r="V159" s="24"/>
      <c r="W159" s="24"/>
      <c r="X159" s="25" t="s">
        <v>71</v>
      </c>
      <c r="Y159" s="25"/>
      <c r="Z159" s="25"/>
      <c r="AA159" s="25"/>
      <c r="AB159" s="24">
        <f>9363730.35</f>
        <v>9363730.35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9363730.35</f>
        <v>9363730.35</v>
      </c>
      <c r="AU159" s="24"/>
      <c r="AV159" s="24"/>
      <c r="AW159" s="25" t="s">
        <v>71</v>
      </c>
      <c r="AX159" s="25"/>
      <c r="AY159" s="24">
        <f>7902514.65</f>
        <v>7902514.65</v>
      </c>
      <c r="AZ159" s="24"/>
      <c r="BA159" s="25" t="s">
        <v>71</v>
      </c>
      <c r="BB159" s="25"/>
      <c r="BC159" s="25"/>
      <c r="BD159" s="24">
        <f>7902514.65</f>
        <v>7902514.65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7902514.65</f>
        <v>7902514.65</v>
      </c>
      <c r="BO159" s="24"/>
      <c r="BP159" s="24"/>
      <c r="BQ159" s="27" t="s">
        <v>71</v>
      </c>
    </row>
    <row r="160" spans="1:69" s="1" customFormat="1" ht="13.5" customHeight="1">
      <c r="A160" s="16" t="s">
        <v>228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197</v>
      </c>
      <c r="N160" s="23"/>
      <c r="O160" s="23"/>
      <c r="P160" s="31" t="s">
        <v>312</v>
      </c>
      <c r="Q160" s="31"/>
      <c r="R160" s="31"/>
      <c r="S160" s="31"/>
      <c r="T160" s="31"/>
      <c r="U160" s="24">
        <f>77500</f>
        <v>77500</v>
      </c>
      <c r="V160" s="24"/>
      <c r="W160" s="24"/>
      <c r="X160" s="25" t="s">
        <v>71</v>
      </c>
      <c r="Y160" s="25"/>
      <c r="Z160" s="25"/>
      <c r="AA160" s="25"/>
      <c r="AB160" s="24">
        <f>77500</f>
        <v>77500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77500</f>
        <v>77500</v>
      </c>
      <c r="AU160" s="24"/>
      <c r="AV160" s="24"/>
      <c r="AW160" s="25" t="s">
        <v>71</v>
      </c>
      <c r="AX160" s="25"/>
      <c r="AY160" s="24">
        <f>75100</f>
        <v>75100</v>
      </c>
      <c r="AZ160" s="24"/>
      <c r="BA160" s="25" t="s">
        <v>71</v>
      </c>
      <c r="BB160" s="25"/>
      <c r="BC160" s="25"/>
      <c r="BD160" s="24">
        <f>75100</f>
        <v>75100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75100</f>
        <v>75100</v>
      </c>
      <c r="BO160" s="24"/>
      <c r="BP160" s="24"/>
      <c r="BQ160" s="27" t="s">
        <v>71</v>
      </c>
    </row>
    <row r="161" spans="1:69" s="1" customFormat="1" ht="13.5" customHeight="1">
      <c r="A161" s="16" t="s">
        <v>230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197</v>
      </c>
      <c r="N161" s="23"/>
      <c r="O161" s="23"/>
      <c r="P161" s="31" t="s">
        <v>313</v>
      </c>
      <c r="Q161" s="31"/>
      <c r="R161" s="31"/>
      <c r="S161" s="31"/>
      <c r="T161" s="31"/>
      <c r="U161" s="24">
        <f>77500</f>
        <v>77500</v>
      </c>
      <c r="V161" s="24"/>
      <c r="W161" s="24"/>
      <c r="X161" s="25" t="s">
        <v>71</v>
      </c>
      <c r="Y161" s="25"/>
      <c r="Z161" s="25"/>
      <c r="AA161" s="25"/>
      <c r="AB161" s="24">
        <f>77500</f>
        <v>77500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77500</f>
        <v>77500</v>
      </c>
      <c r="AU161" s="24"/>
      <c r="AV161" s="24"/>
      <c r="AW161" s="25" t="s">
        <v>71</v>
      </c>
      <c r="AX161" s="25"/>
      <c r="AY161" s="24">
        <f>75100</f>
        <v>75100</v>
      </c>
      <c r="AZ161" s="24"/>
      <c r="BA161" s="25" t="s">
        <v>71</v>
      </c>
      <c r="BB161" s="25"/>
      <c r="BC161" s="25"/>
      <c r="BD161" s="24">
        <f>75100</f>
        <v>75100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75100</f>
        <v>75100</v>
      </c>
      <c r="BO161" s="24"/>
      <c r="BP161" s="24"/>
      <c r="BQ161" s="27" t="s">
        <v>71</v>
      </c>
    </row>
    <row r="162" spans="1:69" s="1" customFormat="1" ht="24" customHeight="1">
      <c r="A162" s="16" t="s">
        <v>232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197</v>
      </c>
      <c r="N162" s="23"/>
      <c r="O162" s="23"/>
      <c r="P162" s="31" t="s">
        <v>314</v>
      </c>
      <c r="Q162" s="31"/>
      <c r="R162" s="31"/>
      <c r="S162" s="31"/>
      <c r="T162" s="31"/>
      <c r="U162" s="24">
        <f>62500</f>
        <v>62500</v>
      </c>
      <c r="V162" s="24"/>
      <c r="W162" s="24"/>
      <c r="X162" s="25" t="s">
        <v>71</v>
      </c>
      <c r="Y162" s="25"/>
      <c r="Z162" s="25"/>
      <c r="AA162" s="25"/>
      <c r="AB162" s="24">
        <f>62500</f>
        <v>62500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62500</f>
        <v>62500</v>
      </c>
      <c r="AU162" s="24"/>
      <c r="AV162" s="24"/>
      <c r="AW162" s="25" t="s">
        <v>71</v>
      </c>
      <c r="AX162" s="25"/>
      <c r="AY162" s="24">
        <f>62500</f>
        <v>62500</v>
      </c>
      <c r="AZ162" s="24"/>
      <c r="BA162" s="25" t="s">
        <v>71</v>
      </c>
      <c r="BB162" s="25"/>
      <c r="BC162" s="25"/>
      <c r="BD162" s="24">
        <f>62500</f>
        <v>62500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62500</f>
        <v>62500</v>
      </c>
      <c r="BO162" s="24"/>
      <c r="BP162" s="24"/>
      <c r="BQ162" s="27" t="s">
        <v>71</v>
      </c>
    </row>
    <row r="163" spans="1:69" s="1" customFormat="1" ht="13.5" customHeight="1">
      <c r="A163" s="16" t="s">
        <v>234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197</v>
      </c>
      <c r="N163" s="23"/>
      <c r="O163" s="23"/>
      <c r="P163" s="31" t="s">
        <v>315</v>
      </c>
      <c r="Q163" s="31"/>
      <c r="R163" s="31"/>
      <c r="S163" s="31"/>
      <c r="T163" s="31"/>
      <c r="U163" s="24">
        <f>15000</f>
        <v>15000</v>
      </c>
      <c r="V163" s="24"/>
      <c r="W163" s="24"/>
      <c r="X163" s="25" t="s">
        <v>71</v>
      </c>
      <c r="Y163" s="25"/>
      <c r="Z163" s="25"/>
      <c r="AA163" s="25"/>
      <c r="AB163" s="24">
        <f>15000</f>
        <v>15000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15000</f>
        <v>15000</v>
      </c>
      <c r="AU163" s="24"/>
      <c r="AV163" s="24"/>
      <c r="AW163" s="25" t="s">
        <v>71</v>
      </c>
      <c r="AX163" s="25"/>
      <c r="AY163" s="24">
        <f>12600</f>
        <v>12600</v>
      </c>
      <c r="AZ163" s="24"/>
      <c r="BA163" s="25" t="s">
        <v>71</v>
      </c>
      <c r="BB163" s="25"/>
      <c r="BC163" s="25"/>
      <c r="BD163" s="24">
        <f>12600</f>
        <v>12600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12600</f>
        <v>12600</v>
      </c>
      <c r="BO163" s="24"/>
      <c r="BP163" s="24"/>
      <c r="BQ163" s="27" t="s">
        <v>71</v>
      </c>
    </row>
    <row r="164" spans="1:69" s="1" customFormat="1" ht="13.5" customHeight="1">
      <c r="A164" s="16" t="s">
        <v>316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197</v>
      </c>
      <c r="N164" s="23"/>
      <c r="O164" s="23"/>
      <c r="P164" s="31" t="s">
        <v>317</v>
      </c>
      <c r="Q164" s="31"/>
      <c r="R164" s="31"/>
      <c r="S164" s="31"/>
      <c r="T164" s="31"/>
      <c r="U164" s="24">
        <f>187500</f>
        <v>187500</v>
      </c>
      <c r="V164" s="24"/>
      <c r="W164" s="24"/>
      <c r="X164" s="25" t="s">
        <v>71</v>
      </c>
      <c r="Y164" s="25"/>
      <c r="Z164" s="25"/>
      <c r="AA164" s="25"/>
      <c r="AB164" s="24">
        <f>187500</f>
        <v>187500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187500</f>
        <v>187500</v>
      </c>
      <c r="AU164" s="24"/>
      <c r="AV164" s="24"/>
      <c r="AW164" s="25" t="s">
        <v>71</v>
      </c>
      <c r="AX164" s="25"/>
      <c r="AY164" s="24">
        <f>127711.9</f>
        <v>127711.9</v>
      </c>
      <c r="AZ164" s="24"/>
      <c r="BA164" s="25" t="s">
        <v>71</v>
      </c>
      <c r="BB164" s="25"/>
      <c r="BC164" s="25"/>
      <c r="BD164" s="24">
        <f>127711.9</f>
        <v>127711.9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127711.9</f>
        <v>127711.9</v>
      </c>
      <c r="BO164" s="24"/>
      <c r="BP164" s="24"/>
      <c r="BQ164" s="27" t="s">
        <v>71</v>
      </c>
    </row>
    <row r="165" spans="1:69" s="1" customFormat="1" ht="24" customHeight="1">
      <c r="A165" s="16" t="s">
        <v>318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197</v>
      </c>
      <c r="N165" s="23"/>
      <c r="O165" s="23"/>
      <c r="P165" s="31" t="s">
        <v>319</v>
      </c>
      <c r="Q165" s="31"/>
      <c r="R165" s="31"/>
      <c r="S165" s="31"/>
      <c r="T165" s="31"/>
      <c r="U165" s="24">
        <f>30000</f>
        <v>30000</v>
      </c>
      <c r="V165" s="24"/>
      <c r="W165" s="24"/>
      <c r="X165" s="25" t="s">
        <v>71</v>
      </c>
      <c r="Y165" s="25"/>
      <c r="Z165" s="25"/>
      <c r="AA165" s="25"/>
      <c r="AB165" s="24">
        <f>30000</f>
        <v>30000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30000</f>
        <v>30000</v>
      </c>
      <c r="AU165" s="24"/>
      <c r="AV165" s="24"/>
      <c r="AW165" s="25" t="s">
        <v>71</v>
      </c>
      <c r="AX165" s="25"/>
      <c r="AY165" s="25" t="s">
        <v>71</v>
      </c>
      <c r="AZ165" s="25"/>
      <c r="BA165" s="25" t="s">
        <v>71</v>
      </c>
      <c r="BB165" s="25"/>
      <c r="BC165" s="25"/>
      <c r="BD165" s="25" t="s">
        <v>71</v>
      </c>
      <c r="BE165" s="25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5" t="s">
        <v>71</v>
      </c>
      <c r="BO165" s="25"/>
      <c r="BP165" s="25"/>
      <c r="BQ165" s="27" t="s">
        <v>71</v>
      </c>
    </row>
    <row r="166" spans="1:69" s="1" customFormat="1" ht="24" customHeight="1">
      <c r="A166" s="16" t="s">
        <v>218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197</v>
      </c>
      <c r="N166" s="23"/>
      <c r="O166" s="23"/>
      <c r="P166" s="31" t="s">
        <v>320</v>
      </c>
      <c r="Q166" s="31"/>
      <c r="R166" s="31"/>
      <c r="S166" s="31"/>
      <c r="T166" s="31"/>
      <c r="U166" s="24">
        <f>30000</f>
        <v>30000</v>
      </c>
      <c r="V166" s="24"/>
      <c r="W166" s="24"/>
      <c r="X166" s="25" t="s">
        <v>71</v>
      </c>
      <c r="Y166" s="25"/>
      <c r="Z166" s="25"/>
      <c r="AA166" s="25"/>
      <c r="AB166" s="24">
        <f>30000</f>
        <v>30000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30000</f>
        <v>30000</v>
      </c>
      <c r="AU166" s="24"/>
      <c r="AV166" s="24"/>
      <c r="AW166" s="25" t="s">
        <v>71</v>
      </c>
      <c r="AX166" s="25"/>
      <c r="AY166" s="25" t="s">
        <v>71</v>
      </c>
      <c r="AZ166" s="25"/>
      <c r="BA166" s="25" t="s">
        <v>71</v>
      </c>
      <c r="BB166" s="25"/>
      <c r="BC166" s="25"/>
      <c r="BD166" s="25" t="s">
        <v>71</v>
      </c>
      <c r="BE166" s="25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5" t="s">
        <v>71</v>
      </c>
      <c r="BO166" s="25"/>
      <c r="BP166" s="25"/>
      <c r="BQ166" s="27" t="s">
        <v>71</v>
      </c>
    </row>
    <row r="167" spans="1:69" s="1" customFormat="1" ht="24" customHeight="1">
      <c r="A167" s="16" t="s">
        <v>220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197</v>
      </c>
      <c r="N167" s="23"/>
      <c r="O167" s="23"/>
      <c r="P167" s="31" t="s">
        <v>321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5" t="s">
        <v>71</v>
      </c>
      <c r="AZ167" s="25"/>
      <c r="BA167" s="25" t="s">
        <v>71</v>
      </c>
      <c r="BB167" s="25"/>
      <c r="BC167" s="25"/>
      <c r="BD167" s="25" t="s">
        <v>71</v>
      </c>
      <c r="BE167" s="25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5" t="s">
        <v>71</v>
      </c>
      <c r="BO167" s="25"/>
      <c r="BP167" s="25"/>
      <c r="BQ167" s="27" t="s">
        <v>71</v>
      </c>
    </row>
    <row r="168" spans="1:69" s="1" customFormat="1" ht="13.5" customHeight="1">
      <c r="A168" s="16" t="s">
        <v>222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197</v>
      </c>
      <c r="N168" s="23"/>
      <c r="O168" s="23"/>
      <c r="P168" s="31" t="s">
        <v>322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5" t="s">
        <v>71</v>
      </c>
      <c r="AZ168" s="25"/>
      <c r="BA168" s="25" t="s">
        <v>71</v>
      </c>
      <c r="BB168" s="25"/>
      <c r="BC168" s="25"/>
      <c r="BD168" s="25" t="s">
        <v>71</v>
      </c>
      <c r="BE168" s="25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5" t="s">
        <v>71</v>
      </c>
      <c r="BO168" s="25"/>
      <c r="BP168" s="25"/>
      <c r="BQ168" s="27" t="s">
        <v>71</v>
      </c>
    </row>
    <row r="169" spans="1:69" s="1" customFormat="1" ht="13.5" customHeight="1">
      <c r="A169" s="16" t="s">
        <v>323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197</v>
      </c>
      <c r="N169" s="23"/>
      <c r="O169" s="23"/>
      <c r="P169" s="31" t="s">
        <v>324</v>
      </c>
      <c r="Q169" s="31"/>
      <c r="R169" s="31"/>
      <c r="S169" s="31"/>
      <c r="T169" s="31"/>
      <c r="U169" s="24">
        <f>157500</f>
        <v>157500</v>
      </c>
      <c r="V169" s="24"/>
      <c r="W169" s="24"/>
      <c r="X169" s="25" t="s">
        <v>71</v>
      </c>
      <c r="Y169" s="25"/>
      <c r="Z169" s="25"/>
      <c r="AA169" s="25"/>
      <c r="AB169" s="24">
        <f>157500</f>
        <v>157500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157500</f>
        <v>157500</v>
      </c>
      <c r="AU169" s="24"/>
      <c r="AV169" s="24"/>
      <c r="AW169" s="25" t="s">
        <v>71</v>
      </c>
      <c r="AX169" s="25"/>
      <c r="AY169" s="24">
        <f>127711.9</f>
        <v>127711.9</v>
      </c>
      <c r="AZ169" s="24"/>
      <c r="BA169" s="25" t="s">
        <v>71</v>
      </c>
      <c r="BB169" s="25"/>
      <c r="BC169" s="25"/>
      <c r="BD169" s="24">
        <f>127711.9</f>
        <v>127711.9</v>
      </c>
      <c r="BE169" s="24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4">
        <f>127711.9</f>
        <v>127711.9</v>
      </c>
      <c r="BO169" s="24"/>
      <c r="BP169" s="24"/>
      <c r="BQ169" s="27" t="s">
        <v>71</v>
      </c>
    </row>
    <row r="170" spans="1:69" s="1" customFormat="1" ht="24" customHeight="1">
      <c r="A170" s="16" t="s">
        <v>218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197</v>
      </c>
      <c r="N170" s="23"/>
      <c r="O170" s="23"/>
      <c r="P170" s="31" t="s">
        <v>325</v>
      </c>
      <c r="Q170" s="31"/>
      <c r="R170" s="31"/>
      <c r="S170" s="31"/>
      <c r="T170" s="31"/>
      <c r="U170" s="24">
        <f>157500</f>
        <v>157500</v>
      </c>
      <c r="V170" s="24"/>
      <c r="W170" s="24"/>
      <c r="X170" s="25" t="s">
        <v>71</v>
      </c>
      <c r="Y170" s="25"/>
      <c r="Z170" s="25"/>
      <c r="AA170" s="25"/>
      <c r="AB170" s="24">
        <f>157500</f>
        <v>157500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157500</f>
        <v>157500</v>
      </c>
      <c r="AU170" s="24"/>
      <c r="AV170" s="24"/>
      <c r="AW170" s="25" t="s">
        <v>71</v>
      </c>
      <c r="AX170" s="25"/>
      <c r="AY170" s="24">
        <f>127711.9</f>
        <v>127711.9</v>
      </c>
      <c r="AZ170" s="24"/>
      <c r="BA170" s="25" t="s">
        <v>71</v>
      </c>
      <c r="BB170" s="25"/>
      <c r="BC170" s="25"/>
      <c r="BD170" s="24">
        <f>127711.9</f>
        <v>127711.9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127711.9</f>
        <v>127711.9</v>
      </c>
      <c r="BO170" s="24"/>
      <c r="BP170" s="24"/>
      <c r="BQ170" s="27" t="s">
        <v>71</v>
      </c>
    </row>
    <row r="171" spans="1:69" s="1" customFormat="1" ht="24" customHeight="1">
      <c r="A171" s="16" t="s">
        <v>220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197</v>
      </c>
      <c r="N171" s="23"/>
      <c r="O171" s="23"/>
      <c r="P171" s="31" t="s">
        <v>326</v>
      </c>
      <c r="Q171" s="31"/>
      <c r="R171" s="31"/>
      <c r="S171" s="31"/>
      <c r="T171" s="31"/>
      <c r="U171" s="24">
        <f>157500</f>
        <v>157500</v>
      </c>
      <c r="V171" s="24"/>
      <c r="W171" s="24"/>
      <c r="X171" s="25" t="s">
        <v>71</v>
      </c>
      <c r="Y171" s="25"/>
      <c r="Z171" s="25"/>
      <c r="AA171" s="25"/>
      <c r="AB171" s="24">
        <f>157500</f>
        <v>157500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157500</f>
        <v>157500</v>
      </c>
      <c r="AU171" s="24"/>
      <c r="AV171" s="24"/>
      <c r="AW171" s="25" t="s">
        <v>71</v>
      </c>
      <c r="AX171" s="25"/>
      <c r="AY171" s="24">
        <f>127711.9</f>
        <v>127711.9</v>
      </c>
      <c r="AZ171" s="24"/>
      <c r="BA171" s="25" t="s">
        <v>71</v>
      </c>
      <c r="BB171" s="25"/>
      <c r="BC171" s="25"/>
      <c r="BD171" s="24">
        <f>127711.9</f>
        <v>127711.9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127711.9</f>
        <v>127711.9</v>
      </c>
      <c r="BO171" s="24"/>
      <c r="BP171" s="24"/>
      <c r="BQ171" s="27" t="s">
        <v>71</v>
      </c>
    </row>
    <row r="172" spans="1:69" s="1" customFormat="1" ht="13.5" customHeight="1">
      <c r="A172" s="16" t="s">
        <v>222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197</v>
      </c>
      <c r="N172" s="23"/>
      <c r="O172" s="23"/>
      <c r="P172" s="31" t="s">
        <v>327</v>
      </c>
      <c r="Q172" s="31"/>
      <c r="R172" s="31"/>
      <c r="S172" s="31"/>
      <c r="T172" s="31"/>
      <c r="U172" s="24">
        <f>157500</f>
        <v>157500</v>
      </c>
      <c r="V172" s="24"/>
      <c r="W172" s="24"/>
      <c r="X172" s="25" t="s">
        <v>71</v>
      </c>
      <c r="Y172" s="25"/>
      <c r="Z172" s="25"/>
      <c r="AA172" s="25"/>
      <c r="AB172" s="24">
        <f>157500</f>
        <v>157500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157500</f>
        <v>157500</v>
      </c>
      <c r="AU172" s="24"/>
      <c r="AV172" s="24"/>
      <c r="AW172" s="25" t="s">
        <v>71</v>
      </c>
      <c r="AX172" s="25"/>
      <c r="AY172" s="24">
        <f>127711.9</f>
        <v>127711.9</v>
      </c>
      <c r="AZ172" s="24"/>
      <c r="BA172" s="25" t="s">
        <v>71</v>
      </c>
      <c r="BB172" s="25"/>
      <c r="BC172" s="25"/>
      <c r="BD172" s="24">
        <f>127711.9</f>
        <v>127711.9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127711.9</f>
        <v>127711.9</v>
      </c>
      <c r="BO172" s="24"/>
      <c r="BP172" s="24"/>
      <c r="BQ172" s="27" t="s">
        <v>71</v>
      </c>
    </row>
    <row r="173" spans="1:69" s="1" customFormat="1" ht="13.5" customHeight="1">
      <c r="A173" s="16" t="s">
        <v>328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197</v>
      </c>
      <c r="N173" s="23"/>
      <c r="O173" s="23"/>
      <c r="P173" s="31" t="s">
        <v>329</v>
      </c>
      <c r="Q173" s="31"/>
      <c r="R173" s="31"/>
      <c r="S173" s="31"/>
      <c r="T173" s="31"/>
      <c r="U173" s="24">
        <f>50000</f>
        <v>50000</v>
      </c>
      <c r="V173" s="24"/>
      <c r="W173" s="24"/>
      <c r="X173" s="25" t="s">
        <v>71</v>
      </c>
      <c r="Y173" s="25"/>
      <c r="Z173" s="25"/>
      <c r="AA173" s="25"/>
      <c r="AB173" s="24">
        <f>50000</f>
        <v>50000</v>
      </c>
      <c r="AC173" s="24"/>
      <c r="AD173" s="24"/>
      <c r="AE173" s="28">
        <f>50000</f>
        <v>50000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100000</f>
        <v>100000</v>
      </c>
      <c r="AU173" s="24"/>
      <c r="AV173" s="24"/>
      <c r="AW173" s="25" t="s">
        <v>71</v>
      </c>
      <c r="AX173" s="25"/>
      <c r="AY173" s="24">
        <f>12500</f>
        <v>12500</v>
      </c>
      <c r="AZ173" s="24"/>
      <c r="BA173" s="25" t="s">
        <v>71</v>
      </c>
      <c r="BB173" s="25"/>
      <c r="BC173" s="25"/>
      <c r="BD173" s="24">
        <f>12500</f>
        <v>12500</v>
      </c>
      <c r="BE173" s="24"/>
      <c r="BF173" s="28">
        <f>50000</f>
        <v>50000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62500</f>
        <v>62500</v>
      </c>
      <c r="BO173" s="24"/>
      <c r="BP173" s="24"/>
      <c r="BQ173" s="27" t="s">
        <v>71</v>
      </c>
    </row>
    <row r="174" spans="1:69" s="1" customFormat="1" ht="13.5" customHeight="1">
      <c r="A174" s="16" t="s">
        <v>330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197</v>
      </c>
      <c r="N174" s="23"/>
      <c r="O174" s="23"/>
      <c r="P174" s="31" t="s">
        <v>331</v>
      </c>
      <c r="Q174" s="31"/>
      <c r="R174" s="31"/>
      <c r="S174" s="31"/>
      <c r="T174" s="31"/>
      <c r="U174" s="24">
        <f>50000</f>
        <v>50000</v>
      </c>
      <c r="V174" s="24"/>
      <c r="W174" s="24"/>
      <c r="X174" s="25" t="s">
        <v>71</v>
      </c>
      <c r="Y174" s="25"/>
      <c r="Z174" s="25"/>
      <c r="AA174" s="25"/>
      <c r="AB174" s="24">
        <f>50000</f>
        <v>50000</v>
      </c>
      <c r="AC174" s="24"/>
      <c r="AD174" s="24"/>
      <c r="AE174" s="28">
        <f>50000</f>
        <v>50000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100000</f>
        <v>100000</v>
      </c>
      <c r="AU174" s="24"/>
      <c r="AV174" s="24"/>
      <c r="AW174" s="25" t="s">
        <v>71</v>
      </c>
      <c r="AX174" s="25"/>
      <c r="AY174" s="24">
        <f>12500</f>
        <v>12500</v>
      </c>
      <c r="AZ174" s="24"/>
      <c r="BA174" s="25" t="s">
        <v>71</v>
      </c>
      <c r="BB174" s="25"/>
      <c r="BC174" s="25"/>
      <c r="BD174" s="24">
        <f>12500</f>
        <v>12500</v>
      </c>
      <c r="BE174" s="24"/>
      <c r="BF174" s="28">
        <f>50000</f>
        <v>50000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62500</f>
        <v>62500</v>
      </c>
      <c r="BO174" s="24"/>
      <c r="BP174" s="24"/>
      <c r="BQ174" s="27" t="s">
        <v>71</v>
      </c>
    </row>
    <row r="175" spans="1:69" s="1" customFormat="1" ht="24" customHeight="1">
      <c r="A175" s="16" t="s">
        <v>218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197</v>
      </c>
      <c r="N175" s="23"/>
      <c r="O175" s="23"/>
      <c r="P175" s="31" t="s">
        <v>332</v>
      </c>
      <c r="Q175" s="31"/>
      <c r="R175" s="31"/>
      <c r="S175" s="31"/>
      <c r="T175" s="31"/>
      <c r="U175" s="24">
        <f>50000</f>
        <v>50000</v>
      </c>
      <c r="V175" s="24"/>
      <c r="W175" s="24"/>
      <c r="X175" s="25" t="s">
        <v>71</v>
      </c>
      <c r="Y175" s="25"/>
      <c r="Z175" s="25"/>
      <c r="AA175" s="25"/>
      <c r="AB175" s="24">
        <f>50000</f>
        <v>50000</v>
      </c>
      <c r="AC175" s="24"/>
      <c r="AD175" s="24"/>
      <c r="AE175" s="26" t="s">
        <v>71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50000</f>
        <v>50000</v>
      </c>
      <c r="AU175" s="24"/>
      <c r="AV175" s="24"/>
      <c r="AW175" s="25" t="s">
        <v>71</v>
      </c>
      <c r="AX175" s="25"/>
      <c r="AY175" s="24">
        <f>12500</f>
        <v>12500</v>
      </c>
      <c r="AZ175" s="24"/>
      <c r="BA175" s="25" t="s">
        <v>71</v>
      </c>
      <c r="BB175" s="25"/>
      <c r="BC175" s="25"/>
      <c r="BD175" s="24">
        <f>12500</f>
        <v>12500</v>
      </c>
      <c r="BE175" s="24"/>
      <c r="BF175" s="26" t="s">
        <v>71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12500</f>
        <v>12500</v>
      </c>
      <c r="BO175" s="24"/>
      <c r="BP175" s="24"/>
      <c r="BQ175" s="27" t="s">
        <v>71</v>
      </c>
    </row>
    <row r="176" spans="1:69" s="1" customFormat="1" ht="24" customHeight="1">
      <c r="A176" s="16" t="s">
        <v>220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197</v>
      </c>
      <c r="N176" s="23"/>
      <c r="O176" s="23"/>
      <c r="P176" s="31" t="s">
        <v>333</v>
      </c>
      <c r="Q176" s="31"/>
      <c r="R176" s="31"/>
      <c r="S176" s="31"/>
      <c r="T176" s="31"/>
      <c r="U176" s="24">
        <f>50000</f>
        <v>50000</v>
      </c>
      <c r="V176" s="24"/>
      <c r="W176" s="24"/>
      <c r="X176" s="25" t="s">
        <v>71</v>
      </c>
      <c r="Y176" s="25"/>
      <c r="Z176" s="25"/>
      <c r="AA176" s="25"/>
      <c r="AB176" s="24">
        <f>50000</f>
        <v>50000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50000</f>
        <v>50000</v>
      </c>
      <c r="AU176" s="24"/>
      <c r="AV176" s="24"/>
      <c r="AW176" s="25" t="s">
        <v>71</v>
      </c>
      <c r="AX176" s="25"/>
      <c r="AY176" s="24">
        <f>12500</f>
        <v>12500</v>
      </c>
      <c r="AZ176" s="24"/>
      <c r="BA176" s="25" t="s">
        <v>71</v>
      </c>
      <c r="BB176" s="25"/>
      <c r="BC176" s="25"/>
      <c r="BD176" s="24">
        <f>12500</f>
        <v>12500</v>
      </c>
      <c r="BE176" s="24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12500</f>
        <v>12500</v>
      </c>
      <c r="BO176" s="24"/>
      <c r="BP176" s="24"/>
      <c r="BQ176" s="27" t="s">
        <v>71</v>
      </c>
    </row>
    <row r="177" spans="1:69" s="1" customFormat="1" ht="13.5" customHeight="1">
      <c r="A177" s="16" t="s">
        <v>222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197</v>
      </c>
      <c r="N177" s="23"/>
      <c r="O177" s="23"/>
      <c r="P177" s="31" t="s">
        <v>334</v>
      </c>
      <c r="Q177" s="31"/>
      <c r="R177" s="31"/>
      <c r="S177" s="31"/>
      <c r="T177" s="31"/>
      <c r="U177" s="24">
        <f>50000</f>
        <v>50000</v>
      </c>
      <c r="V177" s="24"/>
      <c r="W177" s="24"/>
      <c r="X177" s="25" t="s">
        <v>71</v>
      </c>
      <c r="Y177" s="25"/>
      <c r="Z177" s="25"/>
      <c r="AA177" s="25"/>
      <c r="AB177" s="24">
        <f>50000</f>
        <v>50000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50000</f>
        <v>50000</v>
      </c>
      <c r="AU177" s="24"/>
      <c r="AV177" s="24"/>
      <c r="AW177" s="25" t="s">
        <v>71</v>
      </c>
      <c r="AX177" s="25"/>
      <c r="AY177" s="24">
        <f>12500</f>
        <v>12500</v>
      </c>
      <c r="AZ177" s="24"/>
      <c r="BA177" s="25" t="s">
        <v>71</v>
      </c>
      <c r="BB177" s="25"/>
      <c r="BC177" s="25"/>
      <c r="BD177" s="24">
        <f>12500</f>
        <v>12500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12500</f>
        <v>12500</v>
      </c>
      <c r="BO177" s="24"/>
      <c r="BP177" s="24"/>
      <c r="BQ177" s="27" t="s">
        <v>71</v>
      </c>
    </row>
    <row r="178" spans="1:69" s="1" customFormat="1" ht="13.5" customHeight="1">
      <c r="A178" s="16" t="s">
        <v>224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197</v>
      </c>
      <c r="N178" s="23"/>
      <c r="O178" s="23"/>
      <c r="P178" s="31" t="s">
        <v>335</v>
      </c>
      <c r="Q178" s="31"/>
      <c r="R178" s="31"/>
      <c r="S178" s="31"/>
      <c r="T178" s="31"/>
      <c r="U178" s="24">
        <f>0</f>
        <v>0</v>
      </c>
      <c r="V178" s="24"/>
      <c r="W178" s="24"/>
      <c r="X178" s="25" t="s">
        <v>71</v>
      </c>
      <c r="Y178" s="25"/>
      <c r="Z178" s="25"/>
      <c r="AA178" s="25"/>
      <c r="AB178" s="24">
        <f>0</f>
        <v>0</v>
      </c>
      <c r="AC178" s="24"/>
      <c r="AD178" s="24"/>
      <c r="AE178" s="28">
        <f>50000</f>
        <v>50000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50000</f>
        <v>50000</v>
      </c>
      <c r="AU178" s="24"/>
      <c r="AV178" s="24"/>
      <c r="AW178" s="25" t="s">
        <v>71</v>
      </c>
      <c r="AX178" s="25"/>
      <c r="AY178" s="24">
        <f>0</f>
        <v>0</v>
      </c>
      <c r="AZ178" s="24"/>
      <c r="BA178" s="25" t="s">
        <v>71</v>
      </c>
      <c r="BB178" s="25"/>
      <c r="BC178" s="25"/>
      <c r="BD178" s="24">
        <f>0</f>
        <v>0</v>
      </c>
      <c r="BE178" s="24"/>
      <c r="BF178" s="28">
        <f>50000</f>
        <v>50000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50000</f>
        <v>50000</v>
      </c>
      <c r="BO178" s="24"/>
      <c r="BP178" s="24"/>
      <c r="BQ178" s="27" t="s">
        <v>71</v>
      </c>
    </row>
    <row r="179" spans="1:69" s="1" customFormat="1" ht="13.5" customHeight="1">
      <c r="A179" s="16" t="s">
        <v>226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197</v>
      </c>
      <c r="N179" s="23"/>
      <c r="O179" s="23"/>
      <c r="P179" s="31" t="s">
        <v>336</v>
      </c>
      <c r="Q179" s="31"/>
      <c r="R179" s="31"/>
      <c r="S179" s="31"/>
      <c r="T179" s="31"/>
      <c r="U179" s="24">
        <f>0</f>
        <v>0</v>
      </c>
      <c r="V179" s="24"/>
      <c r="W179" s="24"/>
      <c r="X179" s="25" t="s">
        <v>71</v>
      </c>
      <c r="Y179" s="25"/>
      <c r="Z179" s="25"/>
      <c r="AA179" s="25"/>
      <c r="AB179" s="24">
        <f>0</f>
        <v>0</v>
      </c>
      <c r="AC179" s="24"/>
      <c r="AD179" s="24"/>
      <c r="AE179" s="28">
        <f>50000</f>
        <v>50000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50000</f>
        <v>50000</v>
      </c>
      <c r="AU179" s="24"/>
      <c r="AV179" s="24"/>
      <c r="AW179" s="25" t="s">
        <v>71</v>
      </c>
      <c r="AX179" s="25"/>
      <c r="AY179" s="24">
        <f>0</f>
        <v>0</v>
      </c>
      <c r="AZ179" s="24"/>
      <c r="BA179" s="25" t="s">
        <v>71</v>
      </c>
      <c r="BB179" s="25"/>
      <c r="BC179" s="25"/>
      <c r="BD179" s="24">
        <f>0</f>
        <v>0</v>
      </c>
      <c r="BE179" s="24"/>
      <c r="BF179" s="28">
        <f>50000</f>
        <v>50000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50000</f>
        <v>50000</v>
      </c>
      <c r="BO179" s="24"/>
      <c r="BP179" s="24"/>
      <c r="BQ179" s="27" t="s">
        <v>71</v>
      </c>
    </row>
    <row r="180" spans="1:69" s="1" customFormat="1" ht="13.5" customHeight="1">
      <c r="A180" s="16" t="s">
        <v>337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197</v>
      </c>
      <c r="N180" s="23"/>
      <c r="O180" s="23"/>
      <c r="P180" s="31" t="s">
        <v>338</v>
      </c>
      <c r="Q180" s="31"/>
      <c r="R180" s="31"/>
      <c r="S180" s="31"/>
      <c r="T180" s="31"/>
      <c r="U180" s="24">
        <f>141791.3</f>
        <v>141791.3</v>
      </c>
      <c r="V180" s="24"/>
      <c r="W180" s="24"/>
      <c r="X180" s="25" t="s">
        <v>71</v>
      </c>
      <c r="Y180" s="25"/>
      <c r="Z180" s="25"/>
      <c r="AA180" s="25"/>
      <c r="AB180" s="24">
        <f>141791.3</f>
        <v>141791.3</v>
      </c>
      <c r="AC180" s="24"/>
      <c r="AD180" s="24"/>
      <c r="AE180" s="28">
        <f>725309.67</f>
        <v>725309.67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867100.97</f>
        <v>867100.97</v>
      </c>
      <c r="AU180" s="24"/>
      <c r="AV180" s="24"/>
      <c r="AW180" s="25" t="s">
        <v>71</v>
      </c>
      <c r="AX180" s="25"/>
      <c r="AY180" s="24">
        <f>103423.39</f>
        <v>103423.39</v>
      </c>
      <c r="AZ180" s="24"/>
      <c r="BA180" s="25" t="s">
        <v>71</v>
      </c>
      <c r="BB180" s="25"/>
      <c r="BC180" s="25"/>
      <c r="BD180" s="24">
        <f>103423.39</f>
        <v>103423.39</v>
      </c>
      <c r="BE180" s="24"/>
      <c r="BF180" s="28">
        <f>725309.67</f>
        <v>725309.67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828733.06</f>
        <v>828733.06</v>
      </c>
      <c r="BO180" s="24"/>
      <c r="BP180" s="24"/>
      <c r="BQ180" s="27" t="s">
        <v>71</v>
      </c>
    </row>
    <row r="181" spans="1:69" s="1" customFormat="1" ht="13.5" customHeight="1">
      <c r="A181" s="16" t="s">
        <v>339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197</v>
      </c>
      <c r="N181" s="23"/>
      <c r="O181" s="23"/>
      <c r="P181" s="31" t="s">
        <v>340</v>
      </c>
      <c r="Q181" s="31"/>
      <c r="R181" s="31"/>
      <c r="S181" s="31"/>
      <c r="T181" s="31"/>
      <c r="U181" s="24">
        <f>141264.97</f>
        <v>141264.97</v>
      </c>
      <c r="V181" s="24"/>
      <c r="W181" s="24"/>
      <c r="X181" s="25" t="s">
        <v>71</v>
      </c>
      <c r="Y181" s="25"/>
      <c r="Z181" s="25"/>
      <c r="AA181" s="25"/>
      <c r="AB181" s="24">
        <f>141264.97</f>
        <v>141264.97</v>
      </c>
      <c r="AC181" s="24"/>
      <c r="AD181" s="24"/>
      <c r="AE181" s="26" t="s">
        <v>71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141264.97</f>
        <v>141264.97</v>
      </c>
      <c r="AU181" s="24"/>
      <c r="AV181" s="24"/>
      <c r="AW181" s="25" t="s">
        <v>71</v>
      </c>
      <c r="AX181" s="25"/>
      <c r="AY181" s="24">
        <f>103423.39</f>
        <v>103423.39</v>
      </c>
      <c r="AZ181" s="24"/>
      <c r="BA181" s="25" t="s">
        <v>71</v>
      </c>
      <c r="BB181" s="25"/>
      <c r="BC181" s="25"/>
      <c r="BD181" s="24">
        <f>103423.39</f>
        <v>103423.39</v>
      </c>
      <c r="BE181" s="24"/>
      <c r="BF181" s="26" t="s">
        <v>71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103423.39</f>
        <v>103423.39</v>
      </c>
      <c r="BO181" s="24"/>
      <c r="BP181" s="24"/>
      <c r="BQ181" s="27" t="s">
        <v>71</v>
      </c>
    </row>
    <row r="182" spans="1:69" s="1" customFormat="1" ht="13.5" customHeight="1">
      <c r="A182" s="16" t="s">
        <v>341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197</v>
      </c>
      <c r="N182" s="23"/>
      <c r="O182" s="23"/>
      <c r="P182" s="31" t="s">
        <v>342</v>
      </c>
      <c r="Q182" s="31"/>
      <c r="R182" s="31"/>
      <c r="S182" s="31"/>
      <c r="T182" s="31"/>
      <c r="U182" s="24">
        <f>141264.97</f>
        <v>141264.97</v>
      </c>
      <c r="V182" s="24"/>
      <c r="W182" s="24"/>
      <c r="X182" s="25" t="s">
        <v>71</v>
      </c>
      <c r="Y182" s="25"/>
      <c r="Z182" s="25"/>
      <c r="AA182" s="25"/>
      <c r="AB182" s="24">
        <f>141264.97</f>
        <v>141264.97</v>
      </c>
      <c r="AC182" s="24"/>
      <c r="AD182" s="24"/>
      <c r="AE182" s="26" t="s">
        <v>71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141264.97</f>
        <v>141264.97</v>
      </c>
      <c r="AU182" s="24"/>
      <c r="AV182" s="24"/>
      <c r="AW182" s="25" t="s">
        <v>71</v>
      </c>
      <c r="AX182" s="25"/>
      <c r="AY182" s="24">
        <f>103423.39</f>
        <v>103423.39</v>
      </c>
      <c r="AZ182" s="24"/>
      <c r="BA182" s="25" t="s">
        <v>71</v>
      </c>
      <c r="BB182" s="25"/>
      <c r="BC182" s="25"/>
      <c r="BD182" s="24">
        <f>103423.39</f>
        <v>103423.39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103423.39</f>
        <v>103423.39</v>
      </c>
      <c r="BO182" s="24"/>
      <c r="BP182" s="24"/>
      <c r="BQ182" s="27" t="s">
        <v>71</v>
      </c>
    </row>
    <row r="183" spans="1:69" s="1" customFormat="1" ht="24" customHeight="1">
      <c r="A183" s="16" t="s">
        <v>343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197</v>
      </c>
      <c r="N183" s="23"/>
      <c r="O183" s="23"/>
      <c r="P183" s="31" t="s">
        <v>344</v>
      </c>
      <c r="Q183" s="31"/>
      <c r="R183" s="31"/>
      <c r="S183" s="31"/>
      <c r="T183" s="31"/>
      <c r="U183" s="24">
        <f>141264.97</f>
        <v>141264.97</v>
      </c>
      <c r="V183" s="24"/>
      <c r="W183" s="24"/>
      <c r="X183" s="25" t="s">
        <v>71</v>
      </c>
      <c r="Y183" s="25"/>
      <c r="Z183" s="25"/>
      <c r="AA183" s="25"/>
      <c r="AB183" s="24">
        <f>141264.97</f>
        <v>141264.97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141264.97</f>
        <v>141264.97</v>
      </c>
      <c r="AU183" s="24"/>
      <c r="AV183" s="24"/>
      <c r="AW183" s="25" t="s">
        <v>71</v>
      </c>
      <c r="AX183" s="25"/>
      <c r="AY183" s="24">
        <f>103423.39</f>
        <v>103423.39</v>
      </c>
      <c r="AZ183" s="24"/>
      <c r="BA183" s="25" t="s">
        <v>71</v>
      </c>
      <c r="BB183" s="25"/>
      <c r="BC183" s="25"/>
      <c r="BD183" s="24">
        <f>103423.39</f>
        <v>103423.39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103423.39</f>
        <v>103423.39</v>
      </c>
      <c r="BO183" s="24"/>
      <c r="BP183" s="24"/>
      <c r="BQ183" s="27" t="s">
        <v>71</v>
      </c>
    </row>
    <row r="184" spans="1:69" s="1" customFormat="1" ht="13.5" customHeight="1">
      <c r="A184" s="16" t="s">
        <v>345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197</v>
      </c>
      <c r="N184" s="23"/>
      <c r="O184" s="23"/>
      <c r="P184" s="31" t="s">
        <v>346</v>
      </c>
      <c r="Q184" s="31"/>
      <c r="R184" s="31"/>
      <c r="S184" s="31"/>
      <c r="T184" s="31"/>
      <c r="U184" s="24">
        <f>141264.97</f>
        <v>141264.97</v>
      </c>
      <c r="V184" s="24"/>
      <c r="W184" s="24"/>
      <c r="X184" s="25" t="s">
        <v>71</v>
      </c>
      <c r="Y184" s="25"/>
      <c r="Z184" s="25"/>
      <c r="AA184" s="25"/>
      <c r="AB184" s="24">
        <f>141264.97</f>
        <v>141264.97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141264.97</f>
        <v>141264.97</v>
      </c>
      <c r="AU184" s="24"/>
      <c r="AV184" s="24"/>
      <c r="AW184" s="25" t="s">
        <v>71</v>
      </c>
      <c r="AX184" s="25"/>
      <c r="AY184" s="24">
        <f>103423.39</f>
        <v>103423.39</v>
      </c>
      <c r="AZ184" s="24"/>
      <c r="BA184" s="25" t="s">
        <v>71</v>
      </c>
      <c r="BB184" s="25"/>
      <c r="BC184" s="25"/>
      <c r="BD184" s="24">
        <f>103423.39</f>
        <v>103423.39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103423.39</f>
        <v>103423.39</v>
      </c>
      <c r="BO184" s="24"/>
      <c r="BP184" s="24"/>
      <c r="BQ184" s="27" t="s">
        <v>71</v>
      </c>
    </row>
    <row r="185" spans="1:69" s="1" customFormat="1" ht="13.5" customHeight="1">
      <c r="A185" s="16" t="s">
        <v>347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197</v>
      </c>
      <c r="N185" s="23"/>
      <c r="O185" s="23"/>
      <c r="P185" s="31" t="s">
        <v>348</v>
      </c>
      <c r="Q185" s="31"/>
      <c r="R185" s="31"/>
      <c r="S185" s="31"/>
      <c r="T185" s="31"/>
      <c r="U185" s="24">
        <f>526.33</f>
        <v>526.33</v>
      </c>
      <c r="V185" s="24"/>
      <c r="W185" s="24"/>
      <c r="X185" s="25" t="s">
        <v>71</v>
      </c>
      <c r="Y185" s="25"/>
      <c r="Z185" s="25"/>
      <c r="AA185" s="25"/>
      <c r="AB185" s="24">
        <f>526.33</f>
        <v>526.33</v>
      </c>
      <c r="AC185" s="24"/>
      <c r="AD185" s="24"/>
      <c r="AE185" s="28">
        <f>725309.67</f>
        <v>725309.67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725836</f>
        <v>725836</v>
      </c>
      <c r="AU185" s="24"/>
      <c r="AV185" s="24"/>
      <c r="AW185" s="25" t="s">
        <v>71</v>
      </c>
      <c r="AX185" s="25"/>
      <c r="AY185" s="24">
        <f>0</f>
        <v>0</v>
      </c>
      <c r="AZ185" s="24"/>
      <c r="BA185" s="25" t="s">
        <v>71</v>
      </c>
      <c r="BB185" s="25"/>
      <c r="BC185" s="25"/>
      <c r="BD185" s="24">
        <f>0</f>
        <v>0</v>
      </c>
      <c r="BE185" s="24"/>
      <c r="BF185" s="28">
        <f>725309.67</f>
        <v>725309.67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725309.67</f>
        <v>725309.67</v>
      </c>
      <c r="BO185" s="24"/>
      <c r="BP185" s="24"/>
      <c r="BQ185" s="27" t="s">
        <v>71</v>
      </c>
    </row>
    <row r="186" spans="1:69" s="1" customFormat="1" ht="13.5" customHeight="1">
      <c r="A186" s="16" t="s">
        <v>341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197</v>
      </c>
      <c r="N186" s="23"/>
      <c r="O186" s="23"/>
      <c r="P186" s="31" t="s">
        <v>349</v>
      </c>
      <c r="Q186" s="31"/>
      <c r="R186" s="31"/>
      <c r="S186" s="31"/>
      <c r="T186" s="31"/>
      <c r="U186" s="24">
        <f>526.33</f>
        <v>526.33</v>
      </c>
      <c r="V186" s="24"/>
      <c r="W186" s="24"/>
      <c r="X186" s="25" t="s">
        <v>71</v>
      </c>
      <c r="Y186" s="25"/>
      <c r="Z186" s="25"/>
      <c r="AA186" s="25"/>
      <c r="AB186" s="24">
        <f>526.33</f>
        <v>526.33</v>
      </c>
      <c r="AC186" s="24"/>
      <c r="AD186" s="24"/>
      <c r="AE186" s="26" t="s">
        <v>71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526.33</f>
        <v>526.33</v>
      </c>
      <c r="AU186" s="24"/>
      <c r="AV186" s="24"/>
      <c r="AW186" s="25" t="s">
        <v>71</v>
      </c>
      <c r="AX186" s="25"/>
      <c r="AY186" s="25" t="s">
        <v>71</v>
      </c>
      <c r="AZ186" s="25"/>
      <c r="BA186" s="25" t="s">
        <v>71</v>
      </c>
      <c r="BB186" s="25"/>
      <c r="BC186" s="25"/>
      <c r="BD186" s="25" t="s">
        <v>71</v>
      </c>
      <c r="BE186" s="25"/>
      <c r="BF186" s="26" t="s">
        <v>71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5" t="s">
        <v>71</v>
      </c>
      <c r="BO186" s="25"/>
      <c r="BP186" s="25"/>
      <c r="BQ186" s="27" t="s">
        <v>71</v>
      </c>
    </row>
    <row r="187" spans="1:69" s="1" customFormat="1" ht="24" customHeight="1">
      <c r="A187" s="16" t="s">
        <v>350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197</v>
      </c>
      <c r="N187" s="23"/>
      <c r="O187" s="23"/>
      <c r="P187" s="31" t="s">
        <v>351</v>
      </c>
      <c r="Q187" s="31"/>
      <c r="R187" s="31"/>
      <c r="S187" s="31"/>
      <c r="T187" s="31"/>
      <c r="U187" s="24">
        <f>526.33</f>
        <v>526.33</v>
      </c>
      <c r="V187" s="24"/>
      <c r="W187" s="24"/>
      <c r="X187" s="25" t="s">
        <v>71</v>
      </c>
      <c r="Y187" s="25"/>
      <c r="Z187" s="25"/>
      <c r="AA187" s="25"/>
      <c r="AB187" s="24">
        <f>526.33</f>
        <v>526.33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526.33</f>
        <v>526.33</v>
      </c>
      <c r="AU187" s="24"/>
      <c r="AV187" s="24"/>
      <c r="AW187" s="25" t="s">
        <v>71</v>
      </c>
      <c r="AX187" s="25"/>
      <c r="AY187" s="25" t="s">
        <v>71</v>
      </c>
      <c r="AZ187" s="25"/>
      <c r="BA187" s="25" t="s">
        <v>71</v>
      </c>
      <c r="BB187" s="25"/>
      <c r="BC187" s="25"/>
      <c r="BD187" s="25" t="s">
        <v>71</v>
      </c>
      <c r="BE187" s="25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5" t="s">
        <v>71</v>
      </c>
      <c r="BO187" s="25"/>
      <c r="BP187" s="25"/>
      <c r="BQ187" s="27" t="s">
        <v>71</v>
      </c>
    </row>
    <row r="188" spans="1:69" s="1" customFormat="1" ht="13.5" customHeight="1">
      <c r="A188" s="16" t="s">
        <v>352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197</v>
      </c>
      <c r="N188" s="23"/>
      <c r="O188" s="23"/>
      <c r="P188" s="31" t="s">
        <v>353</v>
      </c>
      <c r="Q188" s="31"/>
      <c r="R188" s="31"/>
      <c r="S188" s="31"/>
      <c r="T188" s="31"/>
      <c r="U188" s="24">
        <f>526.33</f>
        <v>526.33</v>
      </c>
      <c r="V188" s="24"/>
      <c r="W188" s="24"/>
      <c r="X188" s="25" t="s">
        <v>71</v>
      </c>
      <c r="Y188" s="25"/>
      <c r="Z188" s="25"/>
      <c r="AA188" s="25"/>
      <c r="AB188" s="24">
        <f>526.33</f>
        <v>526.33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526.33</f>
        <v>526.33</v>
      </c>
      <c r="AU188" s="24"/>
      <c r="AV188" s="24"/>
      <c r="AW188" s="25" t="s">
        <v>71</v>
      </c>
      <c r="AX188" s="25"/>
      <c r="AY188" s="25" t="s">
        <v>71</v>
      </c>
      <c r="AZ188" s="25"/>
      <c r="BA188" s="25" t="s">
        <v>71</v>
      </c>
      <c r="BB188" s="25"/>
      <c r="BC188" s="25"/>
      <c r="BD188" s="25" t="s">
        <v>71</v>
      </c>
      <c r="BE188" s="25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5" t="s">
        <v>71</v>
      </c>
      <c r="BO188" s="25"/>
      <c r="BP188" s="25"/>
      <c r="BQ188" s="27" t="s">
        <v>71</v>
      </c>
    </row>
    <row r="189" spans="1:69" s="1" customFormat="1" ht="13.5" customHeight="1">
      <c r="A189" s="16" t="s">
        <v>224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197</v>
      </c>
      <c r="N189" s="23"/>
      <c r="O189" s="23"/>
      <c r="P189" s="31" t="s">
        <v>354</v>
      </c>
      <c r="Q189" s="31"/>
      <c r="R189" s="31"/>
      <c r="S189" s="31"/>
      <c r="T189" s="31"/>
      <c r="U189" s="24">
        <f>0</f>
        <v>0</v>
      </c>
      <c r="V189" s="24"/>
      <c r="W189" s="24"/>
      <c r="X189" s="25" t="s">
        <v>71</v>
      </c>
      <c r="Y189" s="25"/>
      <c r="Z189" s="25"/>
      <c r="AA189" s="25"/>
      <c r="AB189" s="24">
        <f>0</f>
        <v>0</v>
      </c>
      <c r="AC189" s="24"/>
      <c r="AD189" s="24"/>
      <c r="AE189" s="28">
        <f>725309.67</f>
        <v>725309.67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725309.67</f>
        <v>725309.67</v>
      </c>
      <c r="AU189" s="24"/>
      <c r="AV189" s="24"/>
      <c r="AW189" s="25" t="s">
        <v>71</v>
      </c>
      <c r="AX189" s="25"/>
      <c r="AY189" s="24">
        <f>0</f>
        <v>0</v>
      </c>
      <c r="AZ189" s="24"/>
      <c r="BA189" s="25" t="s">
        <v>71</v>
      </c>
      <c r="BB189" s="25"/>
      <c r="BC189" s="25"/>
      <c r="BD189" s="24">
        <f>0</f>
        <v>0</v>
      </c>
      <c r="BE189" s="24"/>
      <c r="BF189" s="28">
        <f>725309.67</f>
        <v>725309.67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4">
        <f>725309.67</f>
        <v>725309.67</v>
      </c>
      <c r="BO189" s="24"/>
      <c r="BP189" s="24"/>
      <c r="BQ189" s="27" t="s">
        <v>71</v>
      </c>
    </row>
    <row r="190" spans="1:69" s="1" customFormat="1" ht="13.5" customHeight="1">
      <c r="A190" s="16" t="s">
        <v>226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197</v>
      </c>
      <c r="N190" s="23"/>
      <c r="O190" s="23"/>
      <c r="P190" s="31" t="s">
        <v>355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71</v>
      </c>
      <c r="Y190" s="25"/>
      <c r="Z190" s="25"/>
      <c r="AA190" s="25"/>
      <c r="AB190" s="24">
        <f>0</f>
        <v>0</v>
      </c>
      <c r="AC190" s="24"/>
      <c r="AD190" s="24"/>
      <c r="AE190" s="28">
        <f>725309.67</f>
        <v>725309.67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725309.67</f>
        <v>725309.67</v>
      </c>
      <c r="AU190" s="24"/>
      <c r="AV190" s="24"/>
      <c r="AW190" s="25" t="s">
        <v>71</v>
      </c>
      <c r="AX190" s="25"/>
      <c r="AY190" s="24">
        <f>0</f>
        <v>0</v>
      </c>
      <c r="AZ190" s="24"/>
      <c r="BA190" s="25" t="s">
        <v>71</v>
      </c>
      <c r="BB190" s="25"/>
      <c r="BC190" s="25"/>
      <c r="BD190" s="24">
        <f>0</f>
        <v>0</v>
      </c>
      <c r="BE190" s="24"/>
      <c r="BF190" s="28">
        <f>725309.67</f>
        <v>725309.67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725309.67</f>
        <v>725309.67</v>
      </c>
      <c r="BO190" s="24"/>
      <c r="BP190" s="24"/>
      <c r="BQ190" s="27" t="s">
        <v>71</v>
      </c>
    </row>
    <row r="191" spans="1:69" s="1" customFormat="1" ht="13.5" customHeight="1">
      <c r="A191" s="16" t="s">
        <v>356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197</v>
      </c>
      <c r="N191" s="23"/>
      <c r="O191" s="23"/>
      <c r="P191" s="31" t="s">
        <v>357</v>
      </c>
      <c r="Q191" s="31"/>
      <c r="R191" s="31"/>
      <c r="S191" s="31"/>
      <c r="T191" s="31"/>
      <c r="U191" s="24">
        <f>2279831</f>
        <v>2279831</v>
      </c>
      <c r="V191" s="24"/>
      <c r="W191" s="24"/>
      <c r="X191" s="25" t="s">
        <v>71</v>
      </c>
      <c r="Y191" s="25"/>
      <c r="Z191" s="25"/>
      <c r="AA191" s="25"/>
      <c r="AB191" s="24">
        <f>2279831</f>
        <v>2279831</v>
      </c>
      <c r="AC191" s="24"/>
      <c r="AD191" s="24"/>
      <c r="AE191" s="26" t="s">
        <v>71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2279831</f>
        <v>2279831</v>
      </c>
      <c r="AU191" s="24"/>
      <c r="AV191" s="24"/>
      <c r="AW191" s="25" t="s">
        <v>71</v>
      </c>
      <c r="AX191" s="25"/>
      <c r="AY191" s="24">
        <f>1457239.55</f>
        <v>1457239.55</v>
      </c>
      <c r="AZ191" s="24"/>
      <c r="BA191" s="25" t="s">
        <v>71</v>
      </c>
      <c r="BB191" s="25"/>
      <c r="BC191" s="25"/>
      <c r="BD191" s="24">
        <f>1457239.55</f>
        <v>1457239.55</v>
      </c>
      <c r="BE191" s="24"/>
      <c r="BF191" s="26" t="s">
        <v>71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1457239.55</f>
        <v>1457239.55</v>
      </c>
      <c r="BO191" s="24"/>
      <c r="BP191" s="24"/>
      <c r="BQ191" s="27" t="s">
        <v>71</v>
      </c>
    </row>
    <row r="192" spans="1:69" s="1" customFormat="1" ht="13.5" customHeight="1">
      <c r="A192" s="16" t="s">
        <v>358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197</v>
      </c>
      <c r="N192" s="23"/>
      <c r="O192" s="23"/>
      <c r="P192" s="31" t="s">
        <v>359</v>
      </c>
      <c r="Q192" s="31"/>
      <c r="R192" s="31"/>
      <c r="S192" s="31"/>
      <c r="T192" s="31"/>
      <c r="U192" s="24">
        <f>1135094</f>
        <v>1135094</v>
      </c>
      <c r="V192" s="24"/>
      <c r="W192" s="24"/>
      <c r="X192" s="25" t="s">
        <v>71</v>
      </c>
      <c r="Y192" s="25"/>
      <c r="Z192" s="25"/>
      <c r="AA192" s="25"/>
      <c r="AB192" s="24">
        <f>1135094</f>
        <v>1135094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1135094</f>
        <v>1135094</v>
      </c>
      <c r="AU192" s="24"/>
      <c r="AV192" s="24"/>
      <c r="AW192" s="25" t="s">
        <v>71</v>
      </c>
      <c r="AX192" s="25"/>
      <c r="AY192" s="24">
        <f>718545.61</f>
        <v>718545.61</v>
      </c>
      <c r="AZ192" s="24"/>
      <c r="BA192" s="25" t="s">
        <v>71</v>
      </c>
      <c r="BB192" s="25"/>
      <c r="BC192" s="25"/>
      <c r="BD192" s="24">
        <f>718545.61</f>
        <v>718545.61</v>
      </c>
      <c r="BE192" s="24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718545.61</f>
        <v>718545.61</v>
      </c>
      <c r="BO192" s="24"/>
      <c r="BP192" s="24"/>
      <c r="BQ192" s="27" t="s">
        <v>71</v>
      </c>
    </row>
    <row r="193" spans="1:69" s="1" customFormat="1" ht="54.75" customHeight="1">
      <c r="A193" s="16" t="s">
        <v>202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197</v>
      </c>
      <c r="N193" s="23"/>
      <c r="O193" s="23"/>
      <c r="P193" s="31" t="s">
        <v>360</v>
      </c>
      <c r="Q193" s="31"/>
      <c r="R193" s="31"/>
      <c r="S193" s="31"/>
      <c r="T193" s="31"/>
      <c r="U193" s="24">
        <f>596094</f>
        <v>596094</v>
      </c>
      <c r="V193" s="24"/>
      <c r="W193" s="24"/>
      <c r="X193" s="25" t="s">
        <v>71</v>
      </c>
      <c r="Y193" s="25"/>
      <c r="Z193" s="25"/>
      <c r="AA193" s="25"/>
      <c r="AB193" s="24">
        <f>596094</f>
        <v>596094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596094</f>
        <v>596094</v>
      </c>
      <c r="AU193" s="24"/>
      <c r="AV193" s="24"/>
      <c r="AW193" s="25" t="s">
        <v>71</v>
      </c>
      <c r="AX193" s="25"/>
      <c r="AY193" s="24">
        <f>425772.61</f>
        <v>425772.61</v>
      </c>
      <c r="AZ193" s="24"/>
      <c r="BA193" s="25" t="s">
        <v>71</v>
      </c>
      <c r="BB193" s="25"/>
      <c r="BC193" s="25"/>
      <c r="BD193" s="24">
        <f>425772.61</f>
        <v>425772.61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425772.61</f>
        <v>425772.61</v>
      </c>
      <c r="BO193" s="24"/>
      <c r="BP193" s="24"/>
      <c r="BQ193" s="27" t="s">
        <v>71</v>
      </c>
    </row>
    <row r="194" spans="1:69" s="1" customFormat="1" ht="13.5" customHeight="1">
      <c r="A194" s="16" t="s">
        <v>250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197</v>
      </c>
      <c r="N194" s="23"/>
      <c r="O194" s="23"/>
      <c r="P194" s="31" t="s">
        <v>361</v>
      </c>
      <c r="Q194" s="31"/>
      <c r="R194" s="31"/>
      <c r="S194" s="31"/>
      <c r="T194" s="31"/>
      <c r="U194" s="24">
        <f>596094</f>
        <v>596094</v>
      </c>
      <c r="V194" s="24"/>
      <c r="W194" s="24"/>
      <c r="X194" s="25" t="s">
        <v>71</v>
      </c>
      <c r="Y194" s="25"/>
      <c r="Z194" s="25"/>
      <c r="AA194" s="25"/>
      <c r="AB194" s="24">
        <f>596094</f>
        <v>596094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596094</f>
        <v>596094</v>
      </c>
      <c r="AU194" s="24"/>
      <c r="AV194" s="24"/>
      <c r="AW194" s="25" t="s">
        <v>71</v>
      </c>
      <c r="AX194" s="25"/>
      <c r="AY194" s="24">
        <f>425772.61</f>
        <v>425772.61</v>
      </c>
      <c r="AZ194" s="24"/>
      <c r="BA194" s="25" t="s">
        <v>71</v>
      </c>
      <c r="BB194" s="25"/>
      <c r="BC194" s="25"/>
      <c r="BD194" s="24">
        <f>425772.61</f>
        <v>425772.61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425772.61</f>
        <v>425772.61</v>
      </c>
      <c r="BO194" s="24"/>
      <c r="BP194" s="24"/>
      <c r="BQ194" s="27" t="s">
        <v>71</v>
      </c>
    </row>
    <row r="195" spans="1:69" s="1" customFormat="1" ht="13.5" customHeight="1">
      <c r="A195" s="16" t="s">
        <v>252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197</v>
      </c>
      <c r="N195" s="23"/>
      <c r="O195" s="23"/>
      <c r="P195" s="31" t="s">
        <v>362</v>
      </c>
      <c r="Q195" s="31"/>
      <c r="R195" s="31"/>
      <c r="S195" s="31"/>
      <c r="T195" s="31"/>
      <c r="U195" s="24">
        <f>457830</f>
        <v>457830</v>
      </c>
      <c r="V195" s="24"/>
      <c r="W195" s="24"/>
      <c r="X195" s="25" t="s">
        <v>71</v>
      </c>
      <c r="Y195" s="25"/>
      <c r="Z195" s="25"/>
      <c r="AA195" s="25"/>
      <c r="AB195" s="24">
        <f>457830</f>
        <v>457830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457830</f>
        <v>457830</v>
      </c>
      <c r="AU195" s="24"/>
      <c r="AV195" s="24"/>
      <c r="AW195" s="25" t="s">
        <v>71</v>
      </c>
      <c r="AX195" s="25"/>
      <c r="AY195" s="24">
        <f>330404.61</f>
        <v>330404.61</v>
      </c>
      <c r="AZ195" s="24"/>
      <c r="BA195" s="25" t="s">
        <v>71</v>
      </c>
      <c r="BB195" s="25"/>
      <c r="BC195" s="25"/>
      <c r="BD195" s="24">
        <f>330404.61</f>
        <v>330404.61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330404.61</f>
        <v>330404.61</v>
      </c>
      <c r="BO195" s="24"/>
      <c r="BP195" s="24"/>
      <c r="BQ195" s="27" t="s">
        <v>71</v>
      </c>
    </row>
    <row r="196" spans="1:69" s="1" customFormat="1" ht="33.75" customHeight="1">
      <c r="A196" s="16" t="s">
        <v>256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197</v>
      </c>
      <c r="N196" s="23"/>
      <c r="O196" s="23"/>
      <c r="P196" s="31" t="s">
        <v>363</v>
      </c>
      <c r="Q196" s="31"/>
      <c r="R196" s="31"/>
      <c r="S196" s="31"/>
      <c r="T196" s="31"/>
      <c r="U196" s="24">
        <f>138264</f>
        <v>138264</v>
      </c>
      <c r="V196" s="24"/>
      <c r="W196" s="24"/>
      <c r="X196" s="25" t="s">
        <v>71</v>
      </c>
      <c r="Y196" s="25"/>
      <c r="Z196" s="25"/>
      <c r="AA196" s="25"/>
      <c r="AB196" s="24">
        <f>138264</f>
        <v>138264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138264</f>
        <v>138264</v>
      </c>
      <c r="AU196" s="24"/>
      <c r="AV196" s="24"/>
      <c r="AW196" s="25" t="s">
        <v>71</v>
      </c>
      <c r="AX196" s="25"/>
      <c r="AY196" s="24">
        <f>95368</f>
        <v>95368</v>
      </c>
      <c r="AZ196" s="24"/>
      <c r="BA196" s="25" t="s">
        <v>71</v>
      </c>
      <c r="BB196" s="25"/>
      <c r="BC196" s="25"/>
      <c r="BD196" s="24">
        <f>95368</f>
        <v>95368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95368</f>
        <v>95368</v>
      </c>
      <c r="BO196" s="24"/>
      <c r="BP196" s="24"/>
      <c r="BQ196" s="27" t="s">
        <v>71</v>
      </c>
    </row>
    <row r="197" spans="1:69" s="1" customFormat="1" ht="24" customHeight="1">
      <c r="A197" s="16" t="s">
        <v>218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197</v>
      </c>
      <c r="N197" s="23"/>
      <c r="O197" s="23"/>
      <c r="P197" s="31" t="s">
        <v>364</v>
      </c>
      <c r="Q197" s="31"/>
      <c r="R197" s="31"/>
      <c r="S197" s="31"/>
      <c r="T197" s="31"/>
      <c r="U197" s="24">
        <f>218000</f>
        <v>218000</v>
      </c>
      <c r="V197" s="24"/>
      <c r="W197" s="24"/>
      <c r="X197" s="25" t="s">
        <v>71</v>
      </c>
      <c r="Y197" s="25"/>
      <c r="Z197" s="25"/>
      <c r="AA197" s="25"/>
      <c r="AB197" s="24">
        <f>218000</f>
        <v>218000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218000</f>
        <v>218000</v>
      </c>
      <c r="AU197" s="24"/>
      <c r="AV197" s="24"/>
      <c r="AW197" s="25" t="s">
        <v>71</v>
      </c>
      <c r="AX197" s="25"/>
      <c r="AY197" s="24">
        <f>150548</f>
        <v>150548</v>
      </c>
      <c r="AZ197" s="24"/>
      <c r="BA197" s="25" t="s">
        <v>71</v>
      </c>
      <c r="BB197" s="25"/>
      <c r="BC197" s="25"/>
      <c r="BD197" s="24">
        <f>150548</f>
        <v>150548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150548</f>
        <v>150548</v>
      </c>
      <c r="BO197" s="24"/>
      <c r="BP197" s="24"/>
      <c r="BQ197" s="27" t="s">
        <v>71</v>
      </c>
    </row>
    <row r="198" spans="1:69" s="1" customFormat="1" ht="24" customHeight="1">
      <c r="A198" s="16" t="s">
        <v>220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197</v>
      </c>
      <c r="N198" s="23"/>
      <c r="O198" s="23"/>
      <c r="P198" s="31" t="s">
        <v>365</v>
      </c>
      <c r="Q198" s="31"/>
      <c r="R198" s="31"/>
      <c r="S198" s="31"/>
      <c r="T198" s="31"/>
      <c r="U198" s="24">
        <f>218000</f>
        <v>218000</v>
      </c>
      <c r="V198" s="24"/>
      <c r="W198" s="24"/>
      <c r="X198" s="25" t="s">
        <v>71</v>
      </c>
      <c r="Y198" s="25"/>
      <c r="Z198" s="25"/>
      <c r="AA198" s="25"/>
      <c r="AB198" s="24">
        <f>218000</f>
        <v>218000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218000</f>
        <v>218000</v>
      </c>
      <c r="AU198" s="24"/>
      <c r="AV198" s="24"/>
      <c r="AW198" s="25" t="s">
        <v>71</v>
      </c>
      <c r="AX198" s="25"/>
      <c r="AY198" s="24">
        <f>150548</f>
        <v>150548</v>
      </c>
      <c r="AZ198" s="24"/>
      <c r="BA198" s="25" t="s">
        <v>71</v>
      </c>
      <c r="BB198" s="25"/>
      <c r="BC198" s="25"/>
      <c r="BD198" s="24">
        <f>150548</f>
        <v>150548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150548</f>
        <v>150548</v>
      </c>
      <c r="BO198" s="24"/>
      <c r="BP198" s="24"/>
      <c r="BQ198" s="27" t="s">
        <v>71</v>
      </c>
    </row>
    <row r="199" spans="1:69" s="1" customFormat="1" ht="13.5" customHeight="1">
      <c r="A199" s="16" t="s">
        <v>222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197</v>
      </c>
      <c r="N199" s="23"/>
      <c r="O199" s="23"/>
      <c r="P199" s="31" t="s">
        <v>366</v>
      </c>
      <c r="Q199" s="31"/>
      <c r="R199" s="31"/>
      <c r="S199" s="31"/>
      <c r="T199" s="31"/>
      <c r="U199" s="24">
        <f>218000</f>
        <v>218000</v>
      </c>
      <c r="V199" s="24"/>
      <c r="W199" s="24"/>
      <c r="X199" s="25" t="s">
        <v>71</v>
      </c>
      <c r="Y199" s="25"/>
      <c r="Z199" s="25"/>
      <c r="AA199" s="25"/>
      <c r="AB199" s="24">
        <f>218000</f>
        <v>218000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218000</f>
        <v>218000</v>
      </c>
      <c r="AU199" s="24"/>
      <c r="AV199" s="24"/>
      <c r="AW199" s="25" t="s">
        <v>71</v>
      </c>
      <c r="AX199" s="25"/>
      <c r="AY199" s="24">
        <f>150548</f>
        <v>150548</v>
      </c>
      <c r="AZ199" s="24"/>
      <c r="BA199" s="25" t="s">
        <v>71</v>
      </c>
      <c r="BB199" s="25"/>
      <c r="BC199" s="25"/>
      <c r="BD199" s="24">
        <f>150548</f>
        <v>150548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150548</f>
        <v>150548</v>
      </c>
      <c r="BO199" s="24"/>
      <c r="BP199" s="24"/>
      <c r="BQ199" s="27" t="s">
        <v>71</v>
      </c>
    </row>
    <row r="200" spans="1:69" s="1" customFormat="1" ht="13.5" customHeight="1">
      <c r="A200" s="16" t="s">
        <v>228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197</v>
      </c>
      <c r="N200" s="23"/>
      <c r="O200" s="23"/>
      <c r="P200" s="31" t="s">
        <v>367</v>
      </c>
      <c r="Q200" s="31"/>
      <c r="R200" s="31"/>
      <c r="S200" s="31"/>
      <c r="T200" s="31"/>
      <c r="U200" s="24">
        <f>321000</f>
        <v>321000</v>
      </c>
      <c r="V200" s="24"/>
      <c r="W200" s="24"/>
      <c r="X200" s="25" t="s">
        <v>71</v>
      </c>
      <c r="Y200" s="25"/>
      <c r="Z200" s="25"/>
      <c r="AA200" s="25"/>
      <c r="AB200" s="24">
        <f>321000</f>
        <v>321000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321000</f>
        <v>321000</v>
      </c>
      <c r="AU200" s="24"/>
      <c r="AV200" s="24"/>
      <c r="AW200" s="25" t="s">
        <v>71</v>
      </c>
      <c r="AX200" s="25"/>
      <c r="AY200" s="24">
        <f>142225</f>
        <v>142225</v>
      </c>
      <c r="AZ200" s="24"/>
      <c r="BA200" s="25" t="s">
        <v>71</v>
      </c>
      <c r="BB200" s="25"/>
      <c r="BC200" s="25"/>
      <c r="BD200" s="24">
        <f>142225</f>
        <v>142225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142225</f>
        <v>142225</v>
      </c>
      <c r="BO200" s="24"/>
      <c r="BP200" s="24"/>
      <c r="BQ200" s="27" t="s">
        <v>71</v>
      </c>
    </row>
    <row r="201" spans="1:69" s="1" customFormat="1" ht="13.5" customHeight="1">
      <c r="A201" s="16" t="s">
        <v>230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197</v>
      </c>
      <c r="N201" s="23"/>
      <c r="O201" s="23"/>
      <c r="P201" s="31" t="s">
        <v>368</v>
      </c>
      <c r="Q201" s="31"/>
      <c r="R201" s="31"/>
      <c r="S201" s="31"/>
      <c r="T201" s="31"/>
      <c r="U201" s="24">
        <f>321000</f>
        <v>321000</v>
      </c>
      <c r="V201" s="24"/>
      <c r="W201" s="24"/>
      <c r="X201" s="25" t="s">
        <v>71</v>
      </c>
      <c r="Y201" s="25"/>
      <c r="Z201" s="25"/>
      <c r="AA201" s="25"/>
      <c r="AB201" s="24">
        <f>321000</f>
        <v>321000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321000</f>
        <v>321000</v>
      </c>
      <c r="AU201" s="24"/>
      <c r="AV201" s="24"/>
      <c r="AW201" s="25" t="s">
        <v>71</v>
      </c>
      <c r="AX201" s="25"/>
      <c r="AY201" s="24">
        <f>142225</f>
        <v>142225</v>
      </c>
      <c r="AZ201" s="24"/>
      <c r="BA201" s="25" t="s">
        <v>71</v>
      </c>
      <c r="BB201" s="25"/>
      <c r="BC201" s="25"/>
      <c r="BD201" s="24">
        <f>142225</f>
        <v>142225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142225</f>
        <v>142225</v>
      </c>
      <c r="BO201" s="24"/>
      <c r="BP201" s="24"/>
      <c r="BQ201" s="27" t="s">
        <v>71</v>
      </c>
    </row>
    <row r="202" spans="1:69" s="1" customFormat="1" ht="24" customHeight="1">
      <c r="A202" s="16" t="s">
        <v>232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197</v>
      </c>
      <c r="N202" s="23"/>
      <c r="O202" s="23"/>
      <c r="P202" s="31" t="s">
        <v>369</v>
      </c>
      <c r="Q202" s="31"/>
      <c r="R202" s="31"/>
      <c r="S202" s="31"/>
      <c r="T202" s="31"/>
      <c r="U202" s="24">
        <f>318775</f>
        <v>318775</v>
      </c>
      <c r="V202" s="24"/>
      <c r="W202" s="24"/>
      <c r="X202" s="25" t="s">
        <v>71</v>
      </c>
      <c r="Y202" s="25"/>
      <c r="Z202" s="25"/>
      <c r="AA202" s="25"/>
      <c r="AB202" s="24">
        <f>318775</f>
        <v>318775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318775</f>
        <v>318775</v>
      </c>
      <c r="AU202" s="24"/>
      <c r="AV202" s="24"/>
      <c r="AW202" s="25" t="s">
        <v>71</v>
      </c>
      <c r="AX202" s="25"/>
      <c r="AY202" s="24">
        <f>140000</f>
        <v>140000</v>
      </c>
      <c r="AZ202" s="24"/>
      <c r="BA202" s="25" t="s">
        <v>71</v>
      </c>
      <c r="BB202" s="25"/>
      <c r="BC202" s="25"/>
      <c r="BD202" s="24">
        <f>140000</f>
        <v>140000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140000</f>
        <v>140000</v>
      </c>
      <c r="BO202" s="24"/>
      <c r="BP202" s="24"/>
      <c r="BQ202" s="27" t="s">
        <v>71</v>
      </c>
    </row>
    <row r="203" spans="1:69" s="1" customFormat="1" ht="13.5" customHeight="1">
      <c r="A203" s="16" t="s">
        <v>234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197</v>
      </c>
      <c r="N203" s="23"/>
      <c r="O203" s="23"/>
      <c r="P203" s="31" t="s">
        <v>370</v>
      </c>
      <c r="Q203" s="31"/>
      <c r="R203" s="31"/>
      <c r="S203" s="31"/>
      <c r="T203" s="31"/>
      <c r="U203" s="24">
        <f>2225</f>
        <v>2225</v>
      </c>
      <c r="V203" s="24"/>
      <c r="W203" s="24"/>
      <c r="X203" s="25" t="s">
        <v>71</v>
      </c>
      <c r="Y203" s="25"/>
      <c r="Z203" s="25"/>
      <c r="AA203" s="25"/>
      <c r="AB203" s="24">
        <f>2225</f>
        <v>2225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2225</f>
        <v>2225</v>
      </c>
      <c r="AU203" s="24"/>
      <c r="AV203" s="24"/>
      <c r="AW203" s="25" t="s">
        <v>71</v>
      </c>
      <c r="AX203" s="25"/>
      <c r="AY203" s="24">
        <f>2225</f>
        <v>2225</v>
      </c>
      <c r="AZ203" s="24"/>
      <c r="BA203" s="25" t="s">
        <v>71</v>
      </c>
      <c r="BB203" s="25"/>
      <c r="BC203" s="25"/>
      <c r="BD203" s="24">
        <f>2225</f>
        <v>2225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2225</f>
        <v>2225</v>
      </c>
      <c r="BO203" s="24"/>
      <c r="BP203" s="24"/>
      <c r="BQ203" s="27" t="s">
        <v>71</v>
      </c>
    </row>
    <row r="204" spans="1:69" s="1" customFormat="1" ht="13.5" customHeight="1">
      <c r="A204" s="16" t="s">
        <v>371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197</v>
      </c>
      <c r="N204" s="23"/>
      <c r="O204" s="23"/>
      <c r="P204" s="31" t="s">
        <v>372</v>
      </c>
      <c r="Q204" s="31"/>
      <c r="R204" s="31"/>
      <c r="S204" s="31"/>
      <c r="T204" s="31"/>
      <c r="U204" s="24">
        <f>1144737</f>
        <v>1144737</v>
      </c>
      <c r="V204" s="24"/>
      <c r="W204" s="24"/>
      <c r="X204" s="25" t="s">
        <v>71</v>
      </c>
      <c r="Y204" s="25"/>
      <c r="Z204" s="25"/>
      <c r="AA204" s="25"/>
      <c r="AB204" s="24">
        <f>1144737</f>
        <v>1144737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1144737</f>
        <v>1144737</v>
      </c>
      <c r="AU204" s="24"/>
      <c r="AV204" s="24"/>
      <c r="AW204" s="25" t="s">
        <v>71</v>
      </c>
      <c r="AX204" s="25"/>
      <c r="AY204" s="24">
        <f>738693.94</f>
        <v>738693.94</v>
      </c>
      <c r="AZ204" s="24"/>
      <c r="BA204" s="25" t="s">
        <v>71</v>
      </c>
      <c r="BB204" s="25"/>
      <c r="BC204" s="25"/>
      <c r="BD204" s="24">
        <f>738693.94</f>
        <v>738693.94</v>
      </c>
      <c r="BE204" s="24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4">
        <f>738693.94</f>
        <v>738693.94</v>
      </c>
      <c r="BO204" s="24"/>
      <c r="BP204" s="24"/>
      <c r="BQ204" s="27" t="s">
        <v>71</v>
      </c>
    </row>
    <row r="205" spans="1:69" s="1" customFormat="1" ht="24" customHeight="1">
      <c r="A205" s="16" t="s">
        <v>218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197</v>
      </c>
      <c r="N205" s="23"/>
      <c r="O205" s="23"/>
      <c r="P205" s="31" t="s">
        <v>373</v>
      </c>
      <c r="Q205" s="31"/>
      <c r="R205" s="31"/>
      <c r="S205" s="31"/>
      <c r="T205" s="31"/>
      <c r="U205" s="24">
        <f>1144737</f>
        <v>1144737</v>
      </c>
      <c r="V205" s="24"/>
      <c r="W205" s="24"/>
      <c r="X205" s="25" t="s">
        <v>71</v>
      </c>
      <c r="Y205" s="25"/>
      <c r="Z205" s="25"/>
      <c r="AA205" s="25"/>
      <c r="AB205" s="24">
        <f>1144737</f>
        <v>1144737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1144737</f>
        <v>1144737</v>
      </c>
      <c r="AU205" s="24"/>
      <c r="AV205" s="24"/>
      <c r="AW205" s="25" t="s">
        <v>71</v>
      </c>
      <c r="AX205" s="25"/>
      <c r="AY205" s="24">
        <f>738693.94</f>
        <v>738693.94</v>
      </c>
      <c r="AZ205" s="24"/>
      <c r="BA205" s="25" t="s">
        <v>71</v>
      </c>
      <c r="BB205" s="25"/>
      <c r="BC205" s="25"/>
      <c r="BD205" s="24">
        <f>738693.94</f>
        <v>738693.94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738693.94</f>
        <v>738693.94</v>
      </c>
      <c r="BO205" s="24"/>
      <c r="BP205" s="24"/>
      <c r="BQ205" s="27" t="s">
        <v>71</v>
      </c>
    </row>
    <row r="206" spans="1:69" s="1" customFormat="1" ht="24" customHeight="1">
      <c r="A206" s="16" t="s">
        <v>220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197</v>
      </c>
      <c r="N206" s="23"/>
      <c r="O206" s="23"/>
      <c r="P206" s="31" t="s">
        <v>374</v>
      </c>
      <c r="Q206" s="31"/>
      <c r="R206" s="31"/>
      <c r="S206" s="31"/>
      <c r="T206" s="31"/>
      <c r="U206" s="24">
        <f>1144737</f>
        <v>1144737</v>
      </c>
      <c r="V206" s="24"/>
      <c r="W206" s="24"/>
      <c r="X206" s="25" t="s">
        <v>71</v>
      </c>
      <c r="Y206" s="25"/>
      <c r="Z206" s="25"/>
      <c r="AA206" s="25"/>
      <c r="AB206" s="24">
        <f>1144737</f>
        <v>1144737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1144737</f>
        <v>1144737</v>
      </c>
      <c r="AU206" s="24"/>
      <c r="AV206" s="24"/>
      <c r="AW206" s="25" t="s">
        <v>71</v>
      </c>
      <c r="AX206" s="25"/>
      <c r="AY206" s="24">
        <f>738693.94</f>
        <v>738693.94</v>
      </c>
      <c r="AZ206" s="24"/>
      <c r="BA206" s="25" t="s">
        <v>71</v>
      </c>
      <c r="BB206" s="25"/>
      <c r="BC206" s="25"/>
      <c r="BD206" s="24">
        <f>738693.94</f>
        <v>738693.94</v>
      </c>
      <c r="BE206" s="24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738693.94</f>
        <v>738693.94</v>
      </c>
      <c r="BO206" s="24"/>
      <c r="BP206" s="24"/>
      <c r="BQ206" s="27" t="s">
        <v>71</v>
      </c>
    </row>
    <row r="207" spans="1:69" s="1" customFormat="1" ht="13.5" customHeight="1">
      <c r="A207" s="16" t="s">
        <v>222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197</v>
      </c>
      <c r="N207" s="23"/>
      <c r="O207" s="23"/>
      <c r="P207" s="31" t="s">
        <v>375</v>
      </c>
      <c r="Q207" s="31"/>
      <c r="R207" s="31"/>
      <c r="S207" s="31"/>
      <c r="T207" s="31"/>
      <c r="U207" s="24">
        <f>1144737</f>
        <v>1144737</v>
      </c>
      <c r="V207" s="24"/>
      <c r="W207" s="24"/>
      <c r="X207" s="25" t="s">
        <v>71</v>
      </c>
      <c r="Y207" s="25"/>
      <c r="Z207" s="25"/>
      <c r="AA207" s="25"/>
      <c r="AB207" s="24">
        <f>1144737</f>
        <v>1144737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1144737</f>
        <v>1144737</v>
      </c>
      <c r="AU207" s="24"/>
      <c r="AV207" s="24"/>
      <c r="AW207" s="25" t="s">
        <v>71</v>
      </c>
      <c r="AX207" s="25"/>
      <c r="AY207" s="24">
        <f>738693.94</f>
        <v>738693.94</v>
      </c>
      <c r="AZ207" s="24"/>
      <c r="BA207" s="25" t="s">
        <v>71</v>
      </c>
      <c r="BB207" s="25"/>
      <c r="BC207" s="25"/>
      <c r="BD207" s="24">
        <f>738693.94</f>
        <v>738693.94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738693.94</f>
        <v>738693.94</v>
      </c>
      <c r="BO207" s="24"/>
      <c r="BP207" s="24"/>
      <c r="BQ207" s="27" t="s">
        <v>71</v>
      </c>
    </row>
    <row r="208" spans="1:69" s="1" customFormat="1" ht="27" customHeight="1">
      <c r="A208" s="32" t="s">
        <v>376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3" t="s">
        <v>377</v>
      </c>
      <c r="N208" s="33"/>
      <c r="O208" s="33"/>
      <c r="P208" s="33" t="s">
        <v>70</v>
      </c>
      <c r="Q208" s="33"/>
      <c r="R208" s="33"/>
      <c r="S208" s="33"/>
      <c r="T208" s="33"/>
      <c r="U208" s="34">
        <f>-25487126.02</f>
        <v>-25487126.02</v>
      </c>
      <c r="V208" s="34"/>
      <c r="W208" s="34"/>
      <c r="X208" s="35" t="s">
        <v>71</v>
      </c>
      <c r="Y208" s="35"/>
      <c r="Z208" s="35"/>
      <c r="AA208" s="35"/>
      <c r="AB208" s="34">
        <f>-25487126.02</f>
        <v>-25487126.02</v>
      </c>
      <c r="AC208" s="34"/>
      <c r="AD208" s="34"/>
      <c r="AE208" s="36">
        <f>20879538.25</f>
        <v>20879538.25</v>
      </c>
      <c r="AF208" s="37" t="s">
        <v>71</v>
      </c>
      <c r="AG208" s="35" t="s">
        <v>71</v>
      </c>
      <c r="AH208" s="35"/>
      <c r="AI208" s="35"/>
      <c r="AJ208" s="35" t="s">
        <v>71</v>
      </c>
      <c r="AK208" s="35"/>
      <c r="AL208" s="35" t="s">
        <v>71</v>
      </c>
      <c r="AM208" s="35"/>
      <c r="AN208" s="35" t="s">
        <v>71</v>
      </c>
      <c r="AO208" s="35"/>
      <c r="AP208" s="35" t="s">
        <v>71</v>
      </c>
      <c r="AQ208" s="35"/>
      <c r="AR208" s="35"/>
      <c r="AS208" s="37" t="s">
        <v>71</v>
      </c>
      <c r="AT208" s="34">
        <f>-4607587.77</f>
        <v>-4607587.77</v>
      </c>
      <c r="AU208" s="34"/>
      <c r="AV208" s="34"/>
      <c r="AW208" s="35" t="s">
        <v>71</v>
      </c>
      <c r="AX208" s="35"/>
      <c r="AY208" s="34">
        <f>-17686357.97</f>
        <v>-17686357.97</v>
      </c>
      <c r="AZ208" s="34"/>
      <c r="BA208" s="35" t="s">
        <v>71</v>
      </c>
      <c r="BB208" s="35"/>
      <c r="BC208" s="35"/>
      <c r="BD208" s="34">
        <f>-17686357.97</f>
        <v>-17686357.97</v>
      </c>
      <c r="BE208" s="34"/>
      <c r="BF208" s="36">
        <f>17998724.2</f>
        <v>17998724.2</v>
      </c>
      <c r="BG208" s="37" t="s">
        <v>71</v>
      </c>
      <c r="BH208" s="37" t="s">
        <v>71</v>
      </c>
      <c r="BI208" s="37" t="s">
        <v>71</v>
      </c>
      <c r="BJ208" s="37" t="s">
        <v>71</v>
      </c>
      <c r="BK208" s="37" t="s">
        <v>71</v>
      </c>
      <c r="BL208" s="37" t="s">
        <v>71</v>
      </c>
      <c r="BM208" s="37" t="s">
        <v>71</v>
      </c>
      <c r="BN208" s="34">
        <f>312366.23</f>
        <v>312366.23</v>
      </c>
      <c r="BO208" s="34"/>
      <c r="BP208" s="34"/>
      <c r="BQ208" s="38" t="s">
        <v>71</v>
      </c>
    </row>
    <row r="209" spans="1:69" s="1" customFormat="1" ht="13.5" customHeight="1">
      <c r="A209" s="29" t="s">
        <v>9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</row>
    <row r="210" spans="1:69" s="1" customFormat="1" ht="15.75" customHeight="1">
      <c r="A210" s="12" t="s">
        <v>378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</row>
    <row r="211" spans="1:69" s="1" customFormat="1" ht="28.5" customHeight="1">
      <c r="A211" s="3" t="s">
        <v>21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 t="s">
        <v>22</v>
      </c>
      <c r="N211" s="3"/>
      <c r="O211" s="3"/>
      <c r="P211" s="3" t="s">
        <v>23</v>
      </c>
      <c r="Q211" s="3"/>
      <c r="R211" s="3"/>
      <c r="S211" s="3"/>
      <c r="T211" s="3"/>
      <c r="U211" s="3" t="s">
        <v>24</v>
      </c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 t="s">
        <v>38</v>
      </c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s="1" customFormat="1" ht="126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3" t="s">
        <v>25</v>
      </c>
      <c r="V212" s="13"/>
      <c r="W212" s="13"/>
      <c r="X212" s="13" t="s">
        <v>26</v>
      </c>
      <c r="Y212" s="13"/>
      <c r="Z212" s="13"/>
      <c r="AA212" s="13"/>
      <c r="AB212" s="13" t="s">
        <v>27</v>
      </c>
      <c r="AC212" s="13"/>
      <c r="AD212" s="13"/>
      <c r="AE212" s="14" t="s">
        <v>28</v>
      </c>
      <c r="AF212" s="14" t="s">
        <v>29</v>
      </c>
      <c r="AG212" s="13" t="s">
        <v>30</v>
      </c>
      <c r="AH212" s="13"/>
      <c r="AI212" s="13"/>
      <c r="AJ212" s="13" t="s">
        <v>31</v>
      </c>
      <c r="AK212" s="13"/>
      <c r="AL212" s="13" t="s">
        <v>32</v>
      </c>
      <c r="AM212" s="13"/>
      <c r="AN212" s="13" t="s">
        <v>33</v>
      </c>
      <c r="AO212" s="13"/>
      <c r="AP212" s="13" t="s">
        <v>34</v>
      </c>
      <c r="AQ212" s="13"/>
      <c r="AR212" s="13"/>
      <c r="AS212" s="14" t="s">
        <v>35</v>
      </c>
      <c r="AT212" s="13" t="s">
        <v>36</v>
      </c>
      <c r="AU212" s="13"/>
      <c r="AV212" s="13"/>
      <c r="AW212" s="13" t="s">
        <v>37</v>
      </c>
      <c r="AX212" s="13"/>
      <c r="AY212" s="13" t="s">
        <v>25</v>
      </c>
      <c r="AZ212" s="13"/>
      <c r="BA212" s="13" t="s">
        <v>26</v>
      </c>
      <c r="BB212" s="13"/>
      <c r="BC212" s="13"/>
      <c r="BD212" s="13" t="s">
        <v>27</v>
      </c>
      <c r="BE212" s="13"/>
      <c r="BF212" s="14" t="s">
        <v>28</v>
      </c>
      <c r="BG212" s="14" t="s">
        <v>29</v>
      </c>
      <c r="BH212" s="14" t="s">
        <v>30</v>
      </c>
      <c r="BI212" s="14" t="s">
        <v>31</v>
      </c>
      <c r="BJ212" s="14" t="s">
        <v>32</v>
      </c>
      <c r="BK212" s="14" t="s">
        <v>33</v>
      </c>
      <c r="BL212" s="14" t="s">
        <v>34</v>
      </c>
      <c r="BM212" s="14" t="s">
        <v>35</v>
      </c>
      <c r="BN212" s="13" t="s">
        <v>36</v>
      </c>
      <c r="BO212" s="13"/>
      <c r="BP212" s="13"/>
      <c r="BQ212" s="14" t="s">
        <v>37</v>
      </c>
    </row>
    <row r="213" spans="1:69" s="1" customFormat="1" ht="13.5" customHeight="1">
      <c r="A213" s="3" t="s">
        <v>39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 t="s">
        <v>40</v>
      </c>
      <c r="N213" s="3"/>
      <c r="O213" s="3"/>
      <c r="P213" s="3" t="s">
        <v>41</v>
      </c>
      <c r="Q213" s="3"/>
      <c r="R213" s="3"/>
      <c r="S213" s="3"/>
      <c r="T213" s="3"/>
      <c r="U213" s="3" t="s">
        <v>42</v>
      </c>
      <c r="V213" s="3"/>
      <c r="W213" s="3"/>
      <c r="X213" s="3" t="s">
        <v>43</v>
      </c>
      <c r="Y213" s="3"/>
      <c r="Z213" s="3"/>
      <c r="AA213" s="3"/>
      <c r="AB213" s="3" t="s">
        <v>44</v>
      </c>
      <c r="AC213" s="3"/>
      <c r="AD213" s="3"/>
      <c r="AE213" s="15" t="s">
        <v>45</v>
      </c>
      <c r="AF213" s="15" t="s">
        <v>46</v>
      </c>
      <c r="AG213" s="3" t="s">
        <v>47</v>
      </c>
      <c r="AH213" s="3"/>
      <c r="AI213" s="3"/>
      <c r="AJ213" s="3" t="s">
        <v>48</v>
      </c>
      <c r="AK213" s="3"/>
      <c r="AL213" s="3" t="s">
        <v>49</v>
      </c>
      <c r="AM213" s="3"/>
      <c r="AN213" s="3" t="s">
        <v>50</v>
      </c>
      <c r="AO213" s="3"/>
      <c r="AP213" s="3" t="s">
        <v>51</v>
      </c>
      <c r="AQ213" s="3"/>
      <c r="AR213" s="3"/>
      <c r="AS213" s="15" t="s">
        <v>52</v>
      </c>
      <c r="AT213" s="3" t="s">
        <v>53</v>
      </c>
      <c r="AU213" s="3"/>
      <c r="AV213" s="3"/>
      <c r="AW213" s="3" t="s">
        <v>54</v>
      </c>
      <c r="AX213" s="3"/>
      <c r="AY213" s="3" t="s">
        <v>55</v>
      </c>
      <c r="AZ213" s="3"/>
      <c r="BA213" s="3" t="s">
        <v>56</v>
      </c>
      <c r="BB213" s="3"/>
      <c r="BC213" s="3"/>
      <c r="BD213" s="3" t="s">
        <v>57</v>
      </c>
      <c r="BE213" s="3"/>
      <c r="BF213" s="15" t="s">
        <v>58</v>
      </c>
      <c r="BG213" s="15" t="s">
        <v>59</v>
      </c>
      <c r="BH213" s="15" t="s">
        <v>60</v>
      </c>
      <c r="BI213" s="15" t="s">
        <v>61</v>
      </c>
      <c r="BJ213" s="15" t="s">
        <v>62</v>
      </c>
      <c r="BK213" s="15" t="s">
        <v>63</v>
      </c>
      <c r="BL213" s="15" t="s">
        <v>64</v>
      </c>
      <c r="BM213" s="15" t="s">
        <v>65</v>
      </c>
      <c r="BN213" s="3" t="s">
        <v>66</v>
      </c>
      <c r="BO213" s="3"/>
      <c r="BP213" s="3"/>
      <c r="BQ213" s="15" t="s">
        <v>67</v>
      </c>
    </row>
    <row r="214" spans="1:69" s="1" customFormat="1" ht="27" customHeight="1">
      <c r="A214" s="16" t="s">
        <v>379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7" t="s">
        <v>380</v>
      </c>
      <c r="N214" s="17"/>
      <c r="O214" s="17"/>
      <c r="P214" s="17" t="s">
        <v>70</v>
      </c>
      <c r="Q214" s="17"/>
      <c r="R214" s="17"/>
      <c r="S214" s="17"/>
      <c r="T214" s="17"/>
      <c r="U214" s="18">
        <f>25487126.02</f>
        <v>25487126.02</v>
      </c>
      <c r="V214" s="18"/>
      <c r="W214" s="18"/>
      <c r="X214" s="19" t="s">
        <v>71</v>
      </c>
      <c r="Y214" s="19"/>
      <c r="Z214" s="19"/>
      <c r="AA214" s="19"/>
      <c r="AB214" s="18">
        <f>25487126.02</f>
        <v>25487126.02</v>
      </c>
      <c r="AC214" s="18"/>
      <c r="AD214" s="18"/>
      <c r="AE214" s="20">
        <f>-20879538.25</f>
        <v>-20879538.25</v>
      </c>
      <c r="AF214" s="21" t="s">
        <v>71</v>
      </c>
      <c r="AG214" s="19" t="s">
        <v>71</v>
      </c>
      <c r="AH214" s="19"/>
      <c r="AI214" s="19"/>
      <c r="AJ214" s="19" t="s">
        <v>71</v>
      </c>
      <c r="AK214" s="19"/>
      <c r="AL214" s="19" t="s">
        <v>71</v>
      </c>
      <c r="AM214" s="19"/>
      <c r="AN214" s="19" t="s">
        <v>71</v>
      </c>
      <c r="AO214" s="19"/>
      <c r="AP214" s="19" t="s">
        <v>71</v>
      </c>
      <c r="AQ214" s="19"/>
      <c r="AR214" s="19"/>
      <c r="AS214" s="21" t="s">
        <v>71</v>
      </c>
      <c r="AT214" s="18">
        <f>4607587.77</f>
        <v>4607587.77</v>
      </c>
      <c r="AU214" s="18"/>
      <c r="AV214" s="18"/>
      <c r="AW214" s="19" t="s">
        <v>71</v>
      </c>
      <c r="AX214" s="19"/>
      <c r="AY214" s="18">
        <f>17686357.97</f>
        <v>17686357.97</v>
      </c>
      <c r="AZ214" s="18"/>
      <c r="BA214" s="19" t="s">
        <v>71</v>
      </c>
      <c r="BB214" s="19"/>
      <c r="BC214" s="19"/>
      <c r="BD214" s="18">
        <f>17686357.97</f>
        <v>17686357.97</v>
      </c>
      <c r="BE214" s="18"/>
      <c r="BF214" s="20">
        <f>-17998724.2</f>
        <v>-17998724.2</v>
      </c>
      <c r="BG214" s="21" t="s">
        <v>71</v>
      </c>
      <c r="BH214" s="21" t="s">
        <v>71</v>
      </c>
      <c r="BI214" s="21" t="s">
        <v>71</v>
      </c>
      <c r="BJ214" s="21" t="s">
        <v>71</v>
      </c>
      <c r="BK214" s="21" t="s">
        <v>71</v>
      </c>
      <c r="BL214" s="21" t="s">
        <v>71</v>
      </c>
      <c r="BM214" s="21" t="s">
        <v>71</v>
      </c>
      <c r="BN214" s="18">
        <f>-312366.23</f>
        <v>-312366.23</v>
      </c>
      <c r="BO214" s="18"/>
      <c r="BP214" s="18"/>
      <c r="BQ214" s="22" t="s">
        <v>71</v>
      </c>
    </row>
    <row r="215" spans="1:69" s="1" customFormat="1" ht="24" customHeight="1">
      <c r="A215" s="16" t="s">
        <v>381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382</v>
      </c>
      <c r="N215" s="23"/>
      <c r="O215" s="23"/>
      <c r="P215" s="23" t="s">
        <v>70</v>
      </c>
      <c r="Q215" s="23"/>
      <c r="R215" s="23"/>
      <c r="S215" s="23"/>
      <c r="T215" s="23"/>
      <c r="U215" s="25" t="s">
        <v>71</v>
      </c>
      <c r="V215" s="25"/>
      <c r="W215" s="25"/>
      <c r="X215" s="25" t="s">
        <v>71</v>
      </c>
      <c r="Y215" s="25"/>
      <c r="Z215" s="25"/>
      <c r="AA215" s="25"/>
      <c r="AB215" s="25" t="s">
        <v>71</v>
      </c>
      <c r="AC215" s="25"/>
      <c r="AD215" s="25"/>
      <c r="AE215" s="26" t="s">
        <v>71</v>
      </c>
      <c r="AF215" s="26" t="s">
        <v>71</v>
      </c>
      <c r="AG215" s="25" t="s">
        <v>71</v>
      </c>
      <c r="AH215" s="25"/>
      <c r="AI215" s="25"/>
      <c r="AJ215" s="25" t="s">
        <v>71</v>
      </c>
      <c r="AK215" s="25"/>
      <c r="AL215" s="25" t="s">
        <v>71</v>
      </c>
      <c r="AM215" s="25"/>
      <c r="AN215" s="25" t="s">
        <v>71</v>
      </c>
      <c r="AO215" s="25"/>
      <c r="AP215" s="25" t="s">
        <v>71</v>
      </c>
      <c r="AQ215" s="25"/>
      <c r="AR215" s="25"/>
      <c r="AS215" s="26" t="s">
        <v>71</v>
      </c>
      <c r="AT215" s="25" t="s">
        <v>71</v>
      </c>
      <c r="AU215" s="25"/>
      <c r="AV215" s="25"/>
      <c r="AW215" s="25" t="s">
        <v>71</v>
      </c>
      <c r="AX215" s="25"/>
      <c r="AY215" s="25" t="s">
        <v>71</v>
      </c>
      <c r="AZ215" s="25"/>
      <c r="BA215" s="25" t="s">
        <v>71</v>
      </c>
      <c r="BB215" s="25"/>
      <c r="BC215" s="25"/>
      <c r="BD215" s="25" t="s">
        <v>71</v>
      </c>
      <c r="BE215" s="25"/>
      <c r="BF215" s="26" t="s">
        <v>71</v>
      </c>
      <c r="BG215" s="26" t="s">
        <v>71</v>
      </c>
      <c r="BH215" s="26" t="s">
        <v>71</v>
      </c>
      <c r="BI215" s="26" t="s">
        <v>71</v>
      </c>
      <c r="BJ215" s="26" t="s">
        <v>71</v>
      </c>
      <c r="BK215" s="26" t="s">
        <v>71</v>
      </c>
      <c r="BL215" s="26" t="s">
        <v>71</v>
      </c>
      <c r="BM215" s="26" t="s">
        <v>71</v>
      </c>
      <c r="BN215" s="25" t="s">
        <v>71</v>
      </c>
      <c r="BO215" s="25"/>
      <c r="BP215" s="25"/>
      <c r="BQ215" s="27" t="s">
        <v>71</v>
      </c>
    </row>
    <row r="216" spans="1:69" s="1" customFormat="1" ht="13.5" customHeight="1">
      <c r="A216" s="16" t="s">
        <v>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382</v>
      </c>
      <c r="N216" s="23"/>
      <c r="O216" s="23"/>
      <c r="P216" s="23" t="s">
        <v>9</v>
      </c>
      <c r="Q216" s="23"/>
      <c r="R216" s="23"/>
      <c r="S216" s="23"/>
      <c r="T216" s="23"/>
      <c r="U216" s="25" t="s">
        <v>71</v>
      </c>
      <c r="V216" s="25"/>
      <c r="W216" s="25"/>
      <c r="X216" s="25" t="s">
        <v>71</v>
      </c>
      <c r="Y216" s="25"/>
      <c r="Z216" s="25"/>
      <c r="AA216" s="25"/>
      <c r="AB216" s="25" t="s">
        <v>71</v>
      </c>
      <c r="AC216" s="25"/>
      <c r="AD216" s="25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5" t="s">
        <v>71</v>
      </c>
      <c r="AU216" s="25"/>
      <c r="AV216" s="25"/>
      <c r="AW216" s="25" t="s">
        <v>71</v>
      </c>
      <c r="AX216" s="25"/>
      <c r="AY216" s="25" t="s">
        <v>71</v>
      </c>
      <c r="AZ216" s="25"/>
      <c r="BA216" s="25" t="s">
        <v>71</v>
      </c>
      <c r="BB216" s="25"/>
      <c r="BC216" s="25"/>
      <c r="BD216" s="25" t="s">
        <v>71</v>
      </c>
      <c r="BE216" s="25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5" t="s">
        <v>71</v>
      </c>
      <c r="BO216" s="25"/>
      <c r="BP216" s="25"/>
      <c r="BQ216" s="27" t="s">
        <v>71</v>
      </c>
    </row>
    <row r="217" spans="1:69" s="1" customFormat="1" ht="24" customHeight="1">
      <c r="A217" s="16" t="s">
        <v>383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384</v>
      </c>
      <c r="N217" s="23"/>
      <c r="O217" s="23"/>
      <c r="P217" s="23" t="s">
        <v>70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13.5" customHeight="1">
      <c r="A218" s="16" t="s">
        <v>9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384</v>
      </c>
      <c r="N218" s="23"/>
      <c r="O218" s="23"/>
      <c r="P218" s="23" t="s">
        <v>9</v>
      </c>
      <c r="Q218" s="23"/>
      <c r="R218" s="23"/>
      <c r="S218" s="23"/>
      <c r="T218" s="23"/>
      <c r="U218" s="25" t="s">
        <v>71</v>
      </c>
      <c r="V218" s="25"/>
      <c r="W218" s="25"/>
      <c r="X218" s="25" t="s">
        <v>71</v>
      </c>
      <c r="Y218" s="25"/>
      <c r="Z218" s="25"/>
      <c r="AA218" s="25"/>
      <c r="AB218" s="25" t="s">
        <v>71</v>
      </c>
      <c r="AC218" s="25"/>
      <c r="AD218" s="25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5" t="s">
        <v>71</v>
      </c>
      <c r="AU218" s="25"/>
      <c r="AV218" s="25"/>
      <c r="AW218" s="25" t="s">
        <v>71</v>
      </c>
      <c r="AX218" s="25"/>
      <c r="AY218" s="25" t="s">
        <v>71</v>
      </c>
      <c r="AZ218" s="25"/>
      <c r="BA218" s="25" t="s">
        <v>71</v>
      </c>
      <c r="BB218" s="25"/>
      <c r="BC218" s="25"/>
      <c r="BD218" s="25" t="s">
        <v>71</v>
      </c>
      <c r="BE218" s="25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5" t="s">
        <v>71</v>
      </c>
      <c r="BO218" s="25"/>
      <c r="BP218" s="25"/>
      <c r="BQ218" s="27" t="s">
        <v>71</v>
      </c>
    </row>
    <row r="219" spans="1:69" s="1" customFormat="1" ht="13.5" customHeight="1">
      <c r="A219" s="16" t="s">
        <v>385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386</v>
      </c>
      <c r="N219" s="23"/>
      <c r="O219" s="23"/>
      <c r="P219" s="23" t="s">
        <v>387</v>
      </c>
      <c r="Q219" s="23"/>
      <c r="R219" s="23"/>
      <c r="S219" s="23"/>
      <c r="T219" s="23"/>
      <c r="U219" s="24">
        <f>25487126.02</f>
        <v>25487126.02</v>
      </c>
      <c r="V219" s="24"/>
      <c r="W219" s="24"/>
      <c r="X219" s="25" t="s">
        <v>71</v>
      </c>
      <c r="Y219" s="25"/>
      <c r="Z219" s="25"/>
      <c r="AA219" s="25"/>
      <c r="AB219" s="24">
        <f>25487126.02</f>
        <v>25487126.02</v>
      </c>
      <c r="AC219" s="24"/>
      <c r="AD219" s="24"/>
      <c r="AE219" s="28">
        <f>-20879538.25</f>
        <v>-20879538.25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4">
        <f>4607587.77</f>
        <v>4607587.77</v>
      </c>
      <c r="AU219" s="24"/>
      <c r="AV219" s="24"/>
      <c r="AW219" s="25" t="s">
        <v>71</v>
      </c>
      <c r="AX219" s="25"/>
      <c r="AY219" s="24">
        <f>17686357.97</f>
        <v>17686357.97</v>
      </c>
      <c r="AZ219" s="24"/>
      <c r="BA219" s="25" t="s">
        <v>71</v>
      </c>
      <c r="BB219" s="25"/>
      <c r="BC219" s="25"/>
      <c r="BD219" s="24">
        <f>17686357.97</f>
        <v>17686357.97</v>
      </c>
      <c r="BE219" s="24"/>
      <c r="BF219" s="28">
        <f>-17998724.2</f>
        <v>-17998724.2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4">
        <f>-312366.23</f>
        <v>-312366.23</v>
      </c>
      <c r="BO219" s="24"/>
      <c r="BP219" s="24"/>
      <c r="BQ219" s="27" t="s">
        <v>71</v>
      </c>
    </row>
    <row r="220" spans="1:69" s="1" customFormat="1" ht="13.5" customHeight="1">
      <c r="A220" s="16" t="s">
        <v>388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389</v>
      </c>
      <c r="N220" s="23"/>
      <c r="O220" s="23"/>
      <c r="P220" s="23" t="s">
        <v>390</v>
      </c>
      <c r="Q220" s="23"/>
      <c r="R220" s="23"/>
      <c r="S220" s="23"/>
      <c r="T220" s="23"/>
      <c r="U220" s="24">
        <f>-13191074</f>
        <v>-13191074</v>
      </c>
      <c r="V220" s="24"/>
      <c r="W220" s="24"/>
      <c r="X220" s="25" t="s">
        <v>71</v>
      </c>
      <c r="Y220" s="25"/>
      <c r="Z220" s="25"/>
      <c r="AA220" s="25"/>
      <c r="AB220" s="24">
        <f>-13191074</f>
        <v>-13191074</v>
      </c>
      <c r="AC220" s="24"/>
      <c r="AD220" s="24"/>
      <c r="AE220" s="28">
        <f>-21807019.92</f>
        <v>-21807019.92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4">
        <f>-34998093.92</f>
        <v>-34998093.92</v>
      </c>
      <c r="AU220" s="24"/>
      <c r="AV220" s="24"/>
      <c r="AW220" s="25" t="s">
        <v>71</v>
      </c>
      <c r="AX220" s="25"/>
      <c r="AY220" s="24">
        <f>-11734259.47</f>
        <v>-11734259.47</v>
      </c>
      <c r="AZ220" s="24"/>
      <c r="BA220" s="25" t="s">
        <v>71</v>
      </c>
      <c r="BB220" s="25"/>
      <c r="BC220" s="25"/>
      <c r="BD220" s="24">
        <f>-11734259.47</f>
        <v>-11734259.47</v>
      </c>
      <c r="BE220" s="24"/>
      <c r="BF220" s="28">
        <f>-18905469.87</f>
        <v>-18905469.87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4">
        <f>-30639729.34</f>
        <v>-30639729.34</v>
      </c>
      <c r="BO220" s="24"/>
      <c r="BP220" s="24"/>
      <c r="BQ220" s="27" t="s">
        <v>71</v>
      </c>
    </row>
    <row r="221" spans="1:69" s="1" customFormat="1" ht="13.5" customHeight="1">
      <c r="A221" s="16" t="s">
        <v>391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389</v>
      </c>
      <c r="N221" s="23"/>
      <c r="O221" s="23"/>
      <c r="P221" s="23" t="s">
        <v>392</v>
      </c>
      <c r="Q221" s="23"/>
      <c r="R221" s="23"/>
      <c r="S221" s="23"/>
      <c r="T221" s="23"/>
      <c r="U221" s="24">
        <f>-13191074</f>
        <v>-13191074</v>
      </c>
      <c r="V221" s="24"/>
      <c r="W221" s="24"/>
      <c r="X221" s="25" t="s">
        <v>71</v>
      </c>
      <c r="Y221" s="25"/>
      <c r="Z221" s="25"/>
      <c r="AA221" s="25"/>
      <c r="AB221" s="24">
        <f>-13191074</f>
        <v>-13191074</v>
      </c>
      <c r="AC221" s="24"/>
      <c r="AD221" s="24"/>
      <c r="AE221" s="28">
        <f>-21807019.92</f>
        <v>-21807019.92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-34998093.92</f>
        <v>-34998093.92</v>
      </c>
      <c r="AU221" s="24"/>
      <c r="AV221" s="24"/>
      <c r="AW221" s="25" t="s">
        <v>71</v>
      </c>
      <c r="AX221" s="25"/>
      <c r="AY221" s="24">
        <f>-11734259.47</f>
        <v>-11734259.47</v>
      </c>
      <c r="AZ221" s="24"/>
      <c r="BA221" s="25" t="s">
        <v>71</v>
      </c>
      <c r="BB221" s="25"/>
      <c r="BC221" s="25"/>
      <c r="BD221" s="24">
        <f>-11734259.47</f>
        <v>-11734259.47</v>
      </c>
      <c r="BE221" s="24"/>
      <c r="BF221" s="28">
        <f>-18905469.87</f>
        <v>-18905469.87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-30639729.34</f>
        <v>-30639729.34</v>
      </c>
      <c r="BO221" s="24"/>
      <c r="BP221" s="24"/>
      <c r="BQ221" s="27" t="s">
        <v>71</v>
      </c>
    </row>
    <row r="222" spans="1:69" s="1" customFormat="1" ht="24" customHeight="1">
      <c r="A222" s="16" t="s">
        <v>393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389</v>
      </c>
      <c r="N222" s="23"/>
      <c r="O222" s="23"/>
      <c r="P222" s="23" t="s">
        <v>394</v>
      </c>
      <c r="Q222" s="23"/>
      <c r="R222" s="23"/>
      <c r="S222" s="23"/>
      <c r="T222" s="23"/>
      <c r="U222" s="24">
        <f>-13191074</f>
        <v>-13191074</v>
      </c>
      <c r="V222" s="24"/>
      <c r="W222" s="24"/>
      <c r="X222" s="25" t="s">
        <v>71</v>
      </c>
      <c r="Y222" s="25"/>
      <c r="Z222" s="25"/>
      <c r="AA222" s="25"/>
      <c r="AB222" s="24">
        <f>-13191074</f>
        <v>-13191074</v>
      </c>
      <c r="AC222" s="24"/>
      <c r="AD222" s="24"/>
      <c r="AE222" s="28">
        <f>-21807019.92</f>
        <v>-21807019.92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-34998093.92</f>
        <v>-34998093.92</v>
      </c>
      <c r="AU222" s="24"/>
      <c r="AV222" s="24"/>
      <c r="AW222" s="25" t="s">
        <v>71</v>
      </c>
      <c r="AX222" s="25"/>
      <c r="AY222" s="24">
        <f>-11734259.47</f>
        <v>-11734259.47</v>
      </c>
      <c r="AZ222" s="24"/>
      <c r="BA222" s="25" t="s">
        <v>71</v>
      </c>
      <c r="BB222" s="25"/>
      <c r="BC222" s="25"/>
      <c r="BD222" s="24">
        <f>-11734259.47</f>
        <v>-11734259.47</v>
      </c>
      <c r="BE222" s="24"/>
      <c r="BF222" s="28">
        <f>-18905469.87</f>
        <v>-18905469.87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-30639729.34</f>
        <v>-30639729.34</v>
      </c>
      <c r="BO222" s="24"/>
      <c r="BP222" s="24"/>
      <c r="BQ222" s="27" t="s">
        <v>71</v>
      </c>
    </row>
    <row r="223" spans="1:69" s="1" customFormat="1" ht="24" customHeight="1">
      <c r="A223" s="16" t="s">
        <v>395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389</v>
      </c>
      <c r="N223" s="23"/>
      <c r="O223" s="23"/>
      <c r="P223" s="23" t="s">
        <v>396</v>
      </c>
      <c r="Q223" s="23"/>
      <c r="R223" s="23"/>
      <c r="S223" s="23"/>
      <c r="T223" s="23"/>
      <c r="U223" s="24">
        <f>-13191074</f>
        <v>-13191074</v>
      </c>
      <c r="V223" s="24"/>
      <c r="W223" s="24"/>
      <c r="X223" s="25" t="s">
        <v>71</v>
      </c>
      <c r="Y223" s="25"/>
      <c r="Z223" s="25"/>
      <c r="AA223" s="25"/>
      <c r="AB223" s="24">
        <f>-13191074</f>
        <v>-13191074</v>
      </c>
      <c r="AC223" s="24"/>
      <c r="AD223" s="24"/>
      <c r="AE223" s="28">
        <f>-21807019.92</f>
        <v>-21807019.92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-34998093.92</f>
        <v>-34998093.92</v>
      </c>
      <c r="AU223" s="24"/>
      <c r="AV223" s="24"/>
      <c r="AW223" s="25" t="s">
        <v>71</v>
      </c>
      <c r="AX223" s="25"/>
      <c r="AY223" s="24">
        <f>-11734259.47</f>
        <v>-11734259.47</v>
      </c>
      <c r="AZ223" s="24"/>
      <c r="BA223" s="25" t="s">
        <v>71</v>
      </c>
      <c r="BB223" s="25"/>
      <c r="BC223" s="25"/>
      <c r="BD223" s="24">
        <f>-11734259.47</f>
        <v>-11734259.47</v>
      </c>
      <c r="BE223" s="24"/>
      <c r="BF223" s="28">
        <f>-18905469.87</f>
        <v>-18905469.87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-30639729.34</f>
        <v>-30639729.34</v>
      </c>
      <c r="BO223" s="24"/>
      <c r="BP223" s="24"/>
      <c r="BQ223" s="27" t="s">
        <v>71</v>
      </c>
    </row>
    <row r="224" spans="1:69" s="1" customFormat="1" ht="13.5" customHeight="1">
      <c r="A224" s="16" t="s">
        <v>397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398</v>
      </c>
      <c r="N224" s="23"/>
      <c r="O224" s="23"/>
      <c r="P224" s="23" t="s">
        <v>399</v>
      </c>
      <c r="Q224" s="23"/>
      <c r="R224" s="23"/>
      <c r="S224" s="23"/>
      <c r="T224" s="23"/>
      <c r="U224" s="24">
        <f>38678200.02</f>
        <v>38678200.02</v>
      </c>
      <c r="V224" s="24"/>
      <c r="W224" s="24"/>
      <c r="X224" s="25" t="s">
        <v>71</v>
      </c>
      <c r="Y224" s="25"/>
      <c r="Z224" s="25"/>
      <c r="AA224" s="25"/>
      <c r="AB224" s="24">
        <f>38678200.02</f>
        <v>38678200.02</v>
      </c>
      <c r="AC224" s="24"/>
      <c r="AD224" s="24"/>
      <c r="AE224" s="28">
        <f>927481.67</f>
        <v>927481.67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39605681.69</f>
        <v>39605681.69</v>
      </c>
      <c r="AU224" s="24"/>
      <c r="AV224" s="24"/>
      <c r="AW224" s="25" t="s">
        <v>71</v>
      </c>
      <c r="AX224" s="25"/>
      <c r="AY224" s="24">
        <f>29420617.44</f>
        <v>29420617.44</v>
      </c>
      <c r="AZ224" s="24"/>
      <c r="BA224" s="25" t="s">
        <v>71</v>
      </c>
      <c r="BB224" s="25"/>
      <c r="BC224" s="25"/>
      <c r="BD224" s="24">
        <f>29420617.44</f>
        <v>29420617.44</v>
      </c>
      <c r="BE224" s="24"/>
      <c r="BF224" s="28">
        <f>906745.67</f>
        <v>906745.67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30327363.11</f>
        <v>30327363.11</v>
      </c>
      <c r="BO224" s="24"/>
      <c r="BP224" s="24"/>
      <c r="BQ224" s="27" t="s">
        <v>71</v>
      </c>
    </row>
    <row r="225" spans="1:69" s="1" customFormat="1" ht="13.5" customHeight="1">
      <c r="A225" s="16" t="s">
        <v>400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398</v>
      </c>
      <c r="N225" s="23"/>
      <c r="O225" s="23"/>
      <c r="P225" s="23" t="s">
        <v>401</v>
      </c>
      <c r="Q225" s="23"/>
      <c r="R225" s="23"/>
      <c r="S225" s="23"/>
      <c r="T225" s="23"/>
      <c r="U225" s="24">
        <f>38678200.02</f>
        <v>38678200.02</v>
      </c>
      <c r="V225" s="24"/>
      <c r="W225" s="24"/>
      <c r="X225" s="25" t="s">
        <v>71</v>
      </c>
      <c r="Y225" s="25"/>
      <c r="Z225" s="25"/>
      <c r="AA225" s="25"/>
      <c r="AB225" s="24">
        <f>38678200.02</f>
        <v>38678200.02</v>
      </c>
      <c r="AC225" s="24"/>
      <c r="AD225" s="24"/>
      <c r="AE225" s="28">
        <f>927481.67</f>
        <v>927481.67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39605681.69</f>
        <v>39605681.69</v>
      </c>
      <c r="AU225" s="24"/>
      <c r="AV225" s="24"/>
      <c r="AW225" s="25" t="s">
        <v>71</v>
      </c>
      <c r="AX225" s="25"/>
      <c r="AY225" s="24">
        <f>29420617.44</f>
        <v>29420617.44</v>
      </c>
      <c r="AZ225" s="24"/>
      <c r="BA225" s="25" t="s">
        <v>71</v>
      </c>
      <c r="BB225" s="25"/>
      <c r="BC225" s="25"/>
      <c r="BD225" s="24">
        <f>29420617.44</f>
        <v>29420617.44</v>
      </c>
      <c r="BE225" s="24"/>
      <c r="BF225" s="28">
        <f>906745.67</f>
        <v>906745.67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30327363.11</f>
        <v>30327363.11</v>
      </c>
      <c r="BO225" s="24"/>
      <c r="BP225" s="24"/>
      <c r="BQ225" s="27" t="s">
        <v>71</v>
      </c>
    </row>
    <row r="226" spans="1:69" s="1" customFormat="1" ht="24" customHeight="1">
      <c r="A226" s="16" t="s">
        <v>402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398</v>
      </c>
      <c r="N226" s="23"/>
      <c r="O226" s="23"/>
      <c r="P226" s="23" t="s">
        <v>403</v>
      </c>
      <c r="Q226" s="23"/>
      <c r="R226" s="23"/>
      <c r="S226" s="23"/>
      <c r="T226" s="23"/>
      <c r="U226" s="24">
        <f>38678200.02</f>
        <v>38678200.02</v>
      </c>
      <c r="V226" s="24"/>
      <c r="W226" s="24"/>
      <c r="X226" s="25" t="s">
        <v>71</v>
      </c>
      <c r="Y226" s="25"/>
      <c r="Z226" s="25"/>
      <c r="AA226" s="25"/>
      <c r="AB226" s="24">
        <f>38678200.02</f>
        <v>38678200.02</v>
      </c>
      <c r="AC226" s="24"/>
      <c r="AD226" s="24"/>
      <c r="AE226" s="28">
        <f>927481.67</f>
        <v>927481.67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39605681.69</f>
        <v>39605681.69</v>
      </c>
      <c r="AU226" s="24"/>
      <c r="AV226" s="24"/>
      <c r="AW226" s="25" t="s">
        <v>71</v>
      </c>
      <c r="AX226" s="25"/>
      <c r="AY226" s="24">
        <f>29420617.44</f>
        <v>29420617.44</v>
      </c>
      <c r="AZ226" s="24"/>
      <c r="BA226" s="25" t="s">
        <v>71</v>
      </c>
      <c r="BB226" s="25"/>
      <c r="BC226" s="25"/>
      <c r="BD226" s="24">
        <f>29420617.44</f>
        <v>29420617.44</v>
      </c>
      <c r="BE226" s="24"/>
      <c r="BF226" s="28">
        <f>906745.67</f>
        <v>906745.67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30327363.11</f>
        <v>30327363.11</v>
      </c>
      <c r="BO226" s="24"/>
      <c r="BP226" s="24"/>
      <c r="BQ226" s="27" t="s">
        <v>71</v>
      </c>
    </row>
    <row r="227" spans="1:69" s="1" customFormat="1" ht="24" customHeight="1">
      <c r="A227" s="16" t="s">
        <v>404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398</v>
      </c>
      <c r="N227" s="23"/>
      <c r="O227" s="23"/>
      <c r="P227" s="23" t="s">
        <v>405</v>
      </c>
      <c r="Q227" s="23"/>
      <c r="R227" s="23"/>
      <c r="S227" s="23"/>
      <c r="T227" s="23"/>
      <c r="U227" s="24">
        <f>38678200.02</f>
        <v>38678200.02</v>
      </c>
      <c r="V227" s="24"/>
      <c r="W227" s="24"/>
      <c r="X227" s="25" t="s">
        <v>71</v>
      </c>
      <c r="Y227" s="25"/>
      <c r="Z227" s="25"/>
      <c r="AA227" s="25"/>
      <c r="AB227" s="24">
        <f>38678200.02</f>
        <v>38678200.02</v>
      </c>
      <c r="AC227" s="24"/>
      <c r="AD227" s="24"/>
      <c r="AE227" s="28">
        <f>927481.67</f>
        <v>927481.67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39605681.69</f>
        <v>39605681.69</v>
      </c>
      <c r="AU227" s="24"/>
      <c r="AV227" s="24"/>
      <c r="AW227" s="25" t="s">
        <v>71</v>
      </c>
      <c r="AX227" s="25"/>
      <c r="AY227" s="24">
        <f>29420617.44</f>
        <v>29420617.44</v>
      </c>
      <c r="AZ227" s="24"/>
      <c r="BA227" s="25" t="s">
        <v>71</v>
      </c>
      <c r="BB227" s="25"/>
      <c r="BC227" s="25"/>
      <c r="BD227" s="24">
        <f>29420617.44</f>
        <v>29420617.44</v>
      </c>
      <c r="BE227" s="24"/>
      <c r="BF227" s="28">
        <f>906745.67</f>
        <v>906745.67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30327363.11</f>
        <v>30327363.11</v>
      </c>
      <c r="BO227" s="24"/>
      <c r="BP227" s="24"/>
      <c r="BQ227" s="27" t="s">
        <v>71</v>
      </c>
    </row>
    <row r="228" spans="1:69" s="1" customFormat="1" ht="13.5" customHeight="1">
      <c r="A228" s="29" t="s">
        <v>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30" t="s">
        <v>9</v>
      </c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</row>
    <row r="229" spans="1:69" s="1" customFormat="1" ht="15.75" customHeight="1">
      <c r="A229" s="12" t="s">
        <v>406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</row>
    <row r="230" spans="1:69" s="1" customFormat="1" ht="13.5" customHeight="1">
      <c r="A230" s="39" t="s">
        <v>407</v>
      </c>
      <c r="B230" s="3" t="s">
        <v>21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 t="s">
        <v>22</v>
      </c>
      <c r="W230" s="3"/>
      <c r="X230" s="3"/>
      <c r="Y230" s="40" t="s">
        <v>408</v>
      </c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3" t="s">
        <v>411</v>
      </c>
      <c r="BA230" s="3"/>
      <c r="BB230" s="3"/>
      <c r="BC230" s="3"/>
      <c r="BD230" s="3"/>
      <c r="BE230" s="29" t="s">
        <v>9</v>
      </c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</row>
    <row r="231" spans="1:69" s="1" customFormat="1" ht="66" customHeight="1">
      <c r="A231" s="3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 t="s">
        <v>29</v>
      </c>
      <c r="Z231" s="3"/>
      <c r="AA231" s="3"/>
      <c r="AB231" s="3"/>
      <c r="AC231" s="3" t="s">
        <v>30</v>
      </c>
      <c r="AD231" s="3"/>
      <c r="AE231" s="3"/>
      <c r="AF231" s="3" t="s">
        <v>31</v>
      </c>
      <c r="AG231" s="3"/>
      <c r="AH231" s="3"/>
      <c r="AI231" s="3" t="s">
        <v>32</v>
      </c>
      <c r="AJ231" s="3"/>
      <c r="AK231" s="3" t="s">
        <v>33</v>
      </c>
      <c r="AL231" s="3"/>
      <c r="AM231" s="3"/>
      <c r="AN231" s="3"/>
      <c r="AO231" s="3" t="s">
        <v>34</v>
      </c>
      <c r="AP231" s="3"/>
      <c r="AQ231" s="3"/>
      <c r="AR231" s="3" t="s">
        <v>35</v>
      </c>
      <c r="AS231" s="3"/>
      <c r="AT231" s="3"/>
      <c r="AU231" s="3" t="s">
        <v>409</v>
      </c>
      <c r="AV231" s="3"/>
      <c r="AW231" s="3"/>
      <c r="AX231" s="3" t="s">
        <v>410</v>
      </c>
      <c r="AY231" s="3"/>
      <c r="AZ231" s="3"/>
      <c r="BA231" s="3"/>
      <c r="BB231" s="3"/>
      <c r="BC231" s="3"/>
      <c r="BD231" s="3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</row>
    <row r="232" spans="1:69" s="1" customFormat="1" ht="13.5" customHeight="1">
      <c r="A232" s="39"/>
      <c r="B232" s="23" t="s">
        <v>39</v>
      </c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 t="s">
        <v>40</v>
      </c>
      <c r="W232" s="23"/>
      <c r="X232" s="23"/>
      <c r="Y232" s="23" t="s">
        <v>41</v>
      </c>
      <c r="Z232" s="23"/>
      <c r="AA232" s="23"/>
      <c r="AB232" s="23"/>
      <c r="AC232" s="23" t="s">
        <v>42</v>
      </c>
      <c r="AD232" s="23"/>
      <c r="AE232" s="23"/>
      <c r="AF232" s="23" t="s">
        <v>43</v>
      </c>
      <c r="AG232" s="23"/>
      <c r="AH232" s="23"/>
      <c r="AI232" s="23" t="s">
        <v>44</v>
      </c>
      <c r="AJ232" s="23"/>
      <c r="AK232" s="23" t="s">
        <v>45</v>
      </c>
      <c r="AL232" s="23"/>
      <c r="AM232" s="23"/>
      <c r="AN232" s="23"/>
      <c r="AO232" s="23" t="s">
        <v>46</v>
      </c>
      <c r="AP232" s="23"/>
      <c r="AQ232" s="23"/>
      <c r="AR232" s="23" t="s">
        <v>47</v>
      </c>
      <c r="AS232" s="23"/>
      <c r="AT232" s="23"/>
      <c r="AU232" s="23" t="s">
        <v>48</v>
      </c>
      <c r="AV232" s="23"/>
      <c r="AW232" s="23"/>
      <c r="AX232" s="23" t="s">
        <v>49</v>
      </c>
      <c r="AY232" s="23"/>
      <c r="AZ232" s="23" t="s">
        <v>50</v>
      </c>
      <c r="BA232" s="23"/>
      <c r="BB232" s="23"/>
      <c r="BC232" s="23"/>
      <c r="BD232" s="23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13.5" customHeight="1">
      <c r="A233" s="39"/>
      <c r="B233" s="41" t="s">
        <v>412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2" t="s">
        <v>413</v>
      </c>
      <c r="W233" s="42"/>
      <c r="X233" s="42"/>
      <c r="Y233" s="19" t="s">
        <v>71</v>
      </c>
      <c r="Z233" s="19"/>
      <c r="AA233" s="19"/>
      <c r="AB233" s="19"/>
      <c r="AC233" s="19" t="s">
        <v>71</v>
      </c>
      <c r="AD233" s="19"/>
      <c r="AE233" s="19"/>
      <c r="AF233" s="19" t="s">
        <v>71</v>
      </c>
      <c r="AG233" s="19"/>
      <c r="AH233" s="19"/>
      <c r="AI233" s="19" t="s">
        <v>71</v>
      </c>
      <c r="AJ233" s="19"/>
      <c r="AK233" s="19" t="s">
        <v>71</v>
      </c>
      <c r="AL233" s="19"/>
      <c r="AM233" s="19"/>
      <c r="AN233" s="19"/>
      <c r="AO233" s="18">
        <f>906745.67</f>
        <v>906745.67</v>
      </c>
      <c r="AP233" s="18"/>
      <c r="AQ233" s="18"/>
      <c r="AR233" s="19" t="s">
        <v>71</v>
      </c>
      <c r="AS233" s="19"/>
      <c r="AT233" s="19"/>
      <c r="AU233" s="19" t="s">
        <v>71</v>
      </c>
      <c r="AV233" s="19"/>
      <c r="AW233" s="19"/>
      <c r="AX233" s="19" t="s">
        <v>71</v>
      </c>
      <c r="AY233" s="19"/>
      <c r="AZ233" s="43">
        <f>906745.67</f>
        <v>906745.67</v>
      </c>
      <c r="BA233" s="43"/>
      <c r="BB233" s="43"/>
      <c r="BC233" s="43"/>
      <c r="BD233" s="43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44" t="s">
        <v>414</v>
      </c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5" t="s">
        <v>415</v>
      </c>
      <c r="W234" s="45"/>
      <c r="X234" s="45"/>
      <c r="Y234" s="25" t="s">
        <v>71</v>
      </c>
      <c r="Z234" s="25"/>
      <c r="AA234" s="25"/>
      <c r="AB234" s="25"/>
      <c r="AC234" s="25" t="s">
        <v>71</v>
      </c>
      <c r="AD234" s="25"/>
      <c r="AE234" s="25"/>
      <c r="AF234" s="25" t="s">
        <v>71</v>
      </c>
      <c r="AG234" s="25"/>
      <c r="AH234" s="25"/>
      <c r="AI234" s="25" t="s">
        <v>71</v>
      </c>
      <c r="AJ234" s="25"/>
      <c r="AK234" s="25" t="s">
        <v>71</v>
      </c>
      <c r="AL234" s="25"/>
      <c r="AM234" s="25"/>
      <c r="AN234" s="25"/>
      <c r="AO234" s="25" t="s">
        <v>71</v>
      </c>
      <c r="AP234" s="25"/>
      <c r="AQ234" s="25"/>
      <c r="AR234" s="25" t="s">
        <v>71</v>
      </c>
      <c r="AS234" s="25"/>
      <c r="AT234" s="25"/>
      <c r="AU234" s="25" t="s">
        <v>71</v>
      </c>
      <c r="AV234" s="25"/>
      <c r="AW234" s="25"/>
      <c r="AX234" s="25" t="s">
        <v>71</v>
      </c>
      <c r="AY234" s="25"/>
      <c r="AZ234" s="46" t="s">
        <v>71</v>
      </c>
      <c r="BA234" s="46"/>
      <c r="BB234" s="46"/>
      <c r="BC234" s="46"/>
      <c r="BD234" s="4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47" t="s">
        <v>416</v>
      </c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8" t="s">
        <v>9</v>
      </c>
      <c r="W235" s="48"/>
      <c r="X235" s="48"/>
      <c r="Y235" s="49" t="s">
        <v>9</v>
      </c>
      <c r="Z235" s="49"/>
      <c r="AA235" s="49"/>
      <c r="AB235" s="49"/>
      <c r="AC235" s="49" t="s">
        <v>9</v>
      </c>
      <c r="AD235" s="49"/>
      <c r="AE235" s="49"/>
      <c r="AF235" s="49" t="s">
        <v>9</v>
      </c>
      <c r="AG235" s="49"/>
      <c r="AH235" s="49"/>
      <c r="AI235" s="49" t="s">
        <v>9</v>
      </c>
      <c r="AJ235" s="49"/>
      <c r="AK235" s="49" t="s">
        <v>9</v>
      </c>
      <c r="AL235" s="49"/>
      <c r="AM235" s="49"/>
      <c r="AN235" s="49"/>
      <c r="AO235" s="49" t="s">
        <v>9</v>
      </c>
      <c r="AP235" s="49"/>
      <c r="AQ235" s="49"/>
      <c r="AR235" s="49" t="s">
        <v>9</v>
      </c>
      <c r="AS235" s="49"/>
      <c r="AT235" s="49"/>
      <c r="AU235" s="49" t="s">
        <v>9</v>
      </c>
      <c r="AV235" s="49"/>
      <c r="AW235" s="49"/>
      <c r="AX235" s="49" t="s">
        <v>9</v>
      </c>
      <c r="AY235" s="49"/>
      <c r="AZ235" s="50" t="s">
        <v>9</v>
      </c>
      <c r="BA235" s="50"/>
      <c r="BB235" s="50"/>
      <c r="BC235" s="50"/>
      <c r="BD235" s="50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51" t="s">
        <v>9</v>
      </c>
      <c r="C236" s="52" t="s">
        <v>417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3" t="s">
        <v>418</v>
      </c>
      <c r="W236" s="53"/>
      <c r="X236" s="53"/>
      <c r="Y236" s="54" t="s">
        <v>71</v>
      </c>
      <c r="Z236" s="54"/>
      <c r="AA236" s="54"/>
      <c r="AB236" s="54"/>
      <c r="AC236" s="54" t="s">
        <v>71</v>
      </c>
      <c r="AD236" s="54"/>
      <c r="AE236" s="54"/>
      <c r="AF236" s="54" t="s">
        <v>71</v>
      </c>
      <c r="AG236" s="54"/>
      <c r="AH236" s="54"/>
      <c r="AI236" s="54" t="s">
        <v>71</v>
      </c>
      <c r="AJ236" s="54"/>
      <c r="AK236" s="54" t="s">
        <v>71</v>
      </c>
      <c r="AL236" s="54"/>
      <c r="AM236" s="54"/>
      <c r="AN236" s="54"/>
      <c r="AO236" s="54" t="s">
        <v>71</v>
      </c>
      <c r="AP236" s="54"/>
      <c r="AQ236" s="54"/>
      <c r="AR236" s="54" t="s">
        <v>71</v>
      </c>
      <c r="AS236" s="54"/>
      <c r="AT236" s="54"/>
      <c r="AU236" s="54" t="s">
        <v>71</v>
      </c>
      <c r="AV236" s="54"/>
      <c r="AW236" s="54"/>
      <c r="AX236" s="54" t="s">
        <v>71</v>
      </c>
      <c r="AY236" s="54"/>
      <c r="AZ236" s="55" t="s">
        <v>71</v>
      </c>
      <c r="BA236" s="55"/>
      <c r="BB236" s="55"/>
      <c r="BC236" s="55"/>
      <c r="BD236" s="55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56" t="s">
        <v>9</v>
      </c>
      <c r="C237" s="57" t="s">
        <v>419</v>
      </c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8" t="s">
        <v>420</v>
      </c>
      <c r="W237" s="58"/>
      <c r="X237" s="58"/>
      <c r="Y237" s="25" t="s">
        <v>71</v>
      </c>
      <c r="Z237" s="25"/>
      <c r="AA237" s="25"/>
      <c r="AB237" s="25"/>
      <c r="AC237" s="25" t="s">
        <v>71</v>
      </c>
      <c r="AD237" s="25"/>
      <c r="AE237" s="25"/>
      <c r="AF237" s="25" t="s">
        <v>71</v>
      </c>
      <c r="AG237" s="25"/>
      <c r="AH237" s="25"/>
      <c r="AI237" s="25" t="s">
        <v>71</v>
      </c>
      <c r="AJ237" s="25"/>
      <c r="AK237" s="25" t="s">
        <v>71</v>
      </c>
      <c r="AL237" s="25"/>
      <c r="AM237" s="25"/>
      <c r="AN237" s="25"/>
      <c r="AO237" s="25" t="s">
        <v>71</v>
      </c>
      <c r="AP237" s="25"/>
      <c r="AQ237" s="25"/>
      <c r="AR237" s="25" t="s">
        <v>71</v>
      </c>
      <c r="AS237" s="25"/>
      <c r="AT237" s="25"/>
      <c r="AU237" s="25" t="s">
        <v>71</v>
      </c>
      <c r="AV237" s="25"/>
      <c r="AW237" s="25"/>
      <c r="AX237" s="25" t="s">
        <v>71</v>
      </c>
      <c r="AY237" s="25"/>
      <c r="AZ237" s="46" t="s">
        <v>71</v>
      </c>
      <c r="BA237" s="46"/>
      <c r="BB237" s="46"/>
      <c r="BC237" s="46"/>
      <c r="BD237" s="4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6" t="s">
        <v>9</v>
      </c>
      <c r="C238" s="57" t="s">
        <v>421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422</v>
      </c>
      <c r="W238" s="58"/>
      <c r="X238" s="58"/>
      <c r="Y238" s="25" t="s">
        <v>71</v>
      </c>
      <c r="Z238" s="25"/>
      <c r="AA238" s="25"/>
      <c r="AB238" s="25"/>
      <c r="AC238" s="25" t="s">
        <v>71</v>
      </c>
      <c r="AD238" s="25"/>
      <c r="AE238" s="25"/>
      <c r="AF238" s="25" t="s">
        <v>71</v>
      </c>
      <c r="AG238" s="25"/>
      <c r="AH238" s="25"/>
      <c r="AI238" s="25" t="s">
        <v>71</v>
      </c>
      <c r="AJ238" s="25"/>
      <c r="AK238" s="25" t="s">
        <v>71</v>
      </c>
      <c r="AL238" s="25"/>
      <c r="AM238" s="25"/>
      <c r="AN238" s="25"/>
      <c r="AO238" s="25" t="s">
        <v>71</v>
      </c>
      <c r="AP238" s="25"/>
      <c r="AQ238" s="25"/>
      <c r="AR238" s="25" t="s">
        <v>71</v>
      </c>
      <c r="AS238" s="25"/>
      <c r="AT238" s="25"/>
      <c r="AU238" s="25" t="s">
        <v>71</v>
      </c>
      <c r="AV238" s="25"/>
      <c r="AW238" s="25"/>
      <c r="AX238" s="25" t="s">
        <v>71</v>
      </c>
      <c r="AY238" s="25"/>
      <c r="AZ238" s="46" t="s">
        <v>71</v>
      </c>
      <c r="BA238" s="46"/>
      <c r="BB238" s="46"/>
      <c r="BC238" s="46"/>
      <c r="BD238" s="4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226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423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56" t="s">
        <v>9</v>
      </c>
      <c r="C240" s="57" t="s">
        <v>424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425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24" customHeight="1">
      <c r="A241" s="39"/>
      <c r="B241" s="56" t="s">
        <v>9</v>
      </c>
      <c r="C241" s="57" t="s">
        <v>426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427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24" customHeight="1">
      <c r="A242" s="39"/>
      <c r="B242" s="56" t="s">
        <v>9</v>
      </c>
      <c r="C242" s="57" t="s">
        <v>428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429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13.5" customHeight="1">
      <c r="A243" s="39"/>
      <c r="B243" s="56" t="s">
        <v>9</v>
      </c>
      <c r="C243" s="57" t="s">
        <v>430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431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24" customHeight="1">
      <c r="A244" s="39"/>
      <c r="B244" s="56" t="s">
        <v>9</v>
      </c>
      <c r="C244" s="57" t="s">
        <v>432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433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24" customHeight="1">
      <c r="A245" s="39"/>
      <c r="B245" s="44" t="s">
        <v>434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5" t="s">
        <v>435</v>
      </c>
      <c r="W245" s="45"/>
      <c r="X245" s="45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13.5" customHeight="1">
      <c r="A246" s="39"/>
      <c r="B246" s="47" t="s">
        <v>416</v>
      </c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8" t="s">
        <v>9</v>
      </c>
      <c r="W246" s="48"/>
      <c r="X246" s="48"/>
      <c r="Y246" s="49" t="s">
        <v>9</v>
      </c>
      <c r="Z246" s="49"/>
      <c r="AA246" s="49"/>
      <c r="AB246" s="49"/>
      <c r="AC246" s="49" t="s">
        <v>9</v>
      </c>
      <c r="AD246" s="49"/>
      <c r="AE246" s="49"/>
      <c r="AF246" s="49" t="s">
        <v>9</v>
      </c>
      <c r="AG246" s="49"/>
      <c r="AH246" s="49"/>
      <c r="AI246" s="49" t="s">
        <v>9</v>
      </c>
      <c r="AJ246" s="49"/>
      <c r="AK246" s="49" t="s">
        <v>9</v>
      </c>
      <c r="AL246" s="49"/>
      <c r="AM246" s="49"/>
      <c r="AN246" s="49"/>
      <c r="AO246" s="49" t="s">
        <v>9</v>
      </c>
      <c r="AP246" s="49"/>
      <c r="AQ246" s="49"/>
      <c r="AR246" s="49" t="s">
        <v>9</v>
      </c>
      <c r="AS246" s="49"/>
      <c r="AT246" s="49"/>
      <c r="AU246" s="49" t="s">
        <v>9</v>
      </c>
      <c r="AV246" s="49"/>
      <c r="AW246" s="49"/>
      <c r="AX246" s="49" t="s">
        <v>9</v>
      </c>
      <c r="AY246" s="49"/>
      <c r="AZ246" s="50" t="s">
        <v>9</v>
      </c>
      <c r="BA246" s="50"/>
      <c r="BB246" s="50"/>
      <c r="BC246" s="50"/>
      <c r="BD246" s="50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13.5" customHeight="1">
      <c r="A247" s="39"/>
      <c r="B247" s="51" t="s">
        <v>9</v>
      </c>
      <c r="C247" s="52" t="s">
        <v>417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3" t="s">
        <v>436</v>
      </c>
      <c r="W247" s="53"/>
      <c r="X247" s="53"/>
      <c r="Y247" s="54" t="s">
        <v>71</v>
      </c>
      <c r="Z247" s="54"/>
      <c r="AA247" s="54"/>
      <c r="AB247" s="54"/>
      <c r="AC247" s="54" t="s">
        <v>71</v>
      </c>
      <c r="AD247" s="54"/>
      <c r="AE247" s="54"/>
      <c r="AF247" s="54" t="s">
        <v>71</v>
      </c>
      <c r="AG247" s="54"/>
      <c r="AH247" s="54"/>
      <c r="AI247" s="54" t="s">
        <v>71</v>
      </c>
      <c r="AJ247" s="54"/>
      <c r="AK247" s="54" t="s">
        <v>71</v>
      </c>
      <c r="AL247" s="54"/>
      <c r="AM247" s="54"/>
      <c r="AN247" s="54"/>
      <c r="AO247" s="54" t="s">
        <v>71</v>
      </c>
      <c r="AP247" s="54"/>
      <c r="AQ247" s="54"/>
      <c r="AR247" s="54" t="s">
        <v>71</v>
      </c>
      <c r="AS247" s="54"/>
      <c r="AT247" s="54"/>
      <c r="AU247" s="54" t="s">
        <v>71</v>
      </c>
      <c r="AV247" s="54"/>
      <c r="AW247" s="54"/>
      <c r="AX247" s="54" t="s">
        <v>71</v>
      </c>
      <c r="AY247" s="54"/>
      <c r="AZ247" s="55" t="s">
        <v>71</v>
      </c>
      <c r="BA247" s="55"/>
      <c r="BB247" s="55"/>
      <c r="BC247" s="55"/>
      <c r="BD247" s="55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56" t="s">
        <v>9</v>
      </c>
      <c r="C248" s="57" t="s">
        <v>419</v>
      </c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8" t="s">
        <v>437</v>
      </c>
      <c r="W248" s="58"/>
      <c r="X248" s="58"/>
      <c r="Y248" s="25" t="s">
        <v>71</v>
      </c>
      <c r="Z248" s="25"/>
      <c r="AA248" s="25"/>
      <c r="AB248" s="25"/>
      <c r="AC248" s="25" t="s">
        <v>71</v>
      </c>
      <c r="AD248" s="25"/>
      <c r="AE248" s="25"/>
      <c r="AF248" s="25" t="s">
        <v>71</v>
      </c>
      <c r="AG248" s="25"/>
      <c r="AH248" s="25"/>
      <c r="AI248" s="25" t="s">
        <v>71</v>
      </c>
      <c r="AJ248" s="25"/>
      <c r="AK248" s="25" t="s">
        <v>71</v>
      </c>
      <c r="AL248" s="25"/>
      <c r="AM248" s="25"/>
      <c r="AN248" s="25"/>
      <c r="AO248" s="25" t="s">
        <v>71</v>
      </c>
      <c r="AP248" s="25"/>
      <c r="AQ248" s="25"/>
      <c r="AR248" s="25" t="s">
        <v>71</v>
      </c>
      <c r="AS248" s="25"/>
      <c r="AT248" s="25"/>
      <c r="AU248" s="25" t="s">
        <v>71</v>
      </c>
      <c r="AV248" s="25"/>
      <c r="AW248" s="25"/>
      <c r="AX248" s="25" t="s">
        <v>71</v>
      </c>
      <c r="AY248" s="25"/>
      <c r="AZ248" s="46" t="s">
        <v>71</v>
      </c>
      <c r="BA248" s="46"/>
      <c r="BB248" s="46"/>
      <c r="BC248" s="46"/>
      <c r="BD248" s="46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421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438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226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56" t="s">
        <v>9</v>
      </c>
      <c r="C251" s="57" t="s">
        <v>424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24" customHeight="1">
      <c r="A252" s="39"/>
      <c r="B252" s="56" t="s">
        <v>9</v>
      </c>
      <c r="C252" s="57" t="s">
        <v>426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24" customHeight="1">
      <c r="A253" s="39"/>
      <c r="B253" s="56" t="s">
        <v>9</v>
      </c>
      <c r="C253" s="57" t="s">
        <v>428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442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13.5" customHeight="1">
      <c r="A254" s="39"/>
      <c r="B254" s="56" t="s">
        <v>9</v>
      </c>
      <c r="C254" s="57" t="s">
        <v>430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443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24" customHeight="1">
      <c r="A255" s="39"/>
      <c r="B255" s="56" t="s">
        <v>9</v>
      </c>
      <c r="C255" s="57" t="s">
        <v>432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444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13.5" customHeight="1">
      <c r="A256" s="39"/>
      <c r="B256" s="44" t="s">
        <v>445</v>
      </c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5" t="s">
        <v>446</v>
      </c>
      <c r="W256" s="45"/>
      <c r="X256" s="45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47" t="s">
        <v>416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8" t="s">
        <v>9</v>
      </c>
      <c r="W257" s="48"/>
      <c r="X257" s="48"/>
      <c r="Y257" s="49" t="s">
        <v>9</v>
      </c>
      <c r="Z257" s="49"/>
      <c r="AA257" s="49"/>
      <c r="AB257" s="49"/>
      <c r="AC257" s="49" t="s">
        <v>9</v>
      </c>
      <c r="AD257" s="49"/>
      <c r="AE257" s="49"/>
      <c r="AF257" s="49" t="s">
        <v>9</v>
      </c>
      <c r="AG257" s="49"/>
      <c r="AH257" s="49"/>
      <c r="AI257" s="49" t="s">
        <v>9</v>
      </c>
      <c r="AJ257" s="49"/>
      <c r="AK257" s="49" t="s">
        <v>9</v>
      </c>
      <c r="AL257" s="49"/>
      <c r="AM257" s="49"/>
      <c r="AN257" s="49"/>
      <c r="AO257" s="49" t="s">
        <v>9</v>
      </c>
      <c r="AP257" s="49"/>
      <c r="AQ257" s="49"/>
      <c r="AR257" s="49" t="s">
        <v>9</v>
      </c>
      <c r="AS257" s="49"/>
      <c r="AT257" s="49"/>
      <c r="AU257" s="49" t="s">
        <v>9</v>
      </c>
      <c r="AV257" s="49"/>
      <c r="AW257" s="49"/>
      <c r="AX257" s="49" t="s">
        <v>9</v>
      </c>
      <c r="AY257" s="49"/>
      <c r="AZ257" s="50" t="s">
        <v>9</v>
      </c>
      <c r="BA257" s="50"/>
      <c r="BB257" s="50"/>
      <c r="BC257" s="50"/>
      <c r="BD257" s="50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51" t="s">
        <v>9</v>
      </c>
      <c r="C258" s="52" t="s">
        <v>417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3" t="s">
        <v>447</v>
      </c>
      <c r="W258" s="53"/>
      <c r="X258" s="53"/>
      <c r="Y258" s="54" t="s">
        <v>71</v>
      </c>
      <c r="Z258" s="54"/>
      <c r="AA258" s="54"/>
      <c r="AB258" s="54"/>
      <c r="AC258" s="54" t="s">
        <v>71</v>
      </c>
      <c r="AD258" s="54"/>
      <c r="AE258" s="54"/>
      <c r="AF258" s="54" t="s">
        <v>71</v>
      </c>
      <c r="AG258" s="54"/>
      <c r="AH258" s="54"/>
      <c r="AI258" s="54" t="s">
        <v>71</v>
      </c>
      <c r="AJ258" s="54"/>
      <c r="AK258" s="54" t="s">
        <v>71</v>
      </c>
      <c r="AL258" s="54"/>
      <c r="AM258" s="54"/>
      <c r="AN258" s="54"/>
      <c r="AO258" s="54" t="s">
        <v>71</v>
      </c>
      <c r="AP258" s="54"/>
      <c r="AQ258" s="54"/>
      <c r="AR258" s="54" t="s">
        <v>71</v>
      </c>
      <c r="AS258" s="54"/>
      <c r="AT258" s="54"/>
      <c r="AU258" s="54" t="s">
        <v>71</v>
      </c>
      <c r="AV258" s="54"/>
      <c r="AW258" s="54"/>
      <c r="AX258" s="54" t="s">
        <v>71</v>
      </c>
      <c r="AY258" s="54"/>
      <c r="AZ258" s="55" t="s">
        <v>71</v>
      </c>
      <c r="BA258" s="55"/>
      <c r="BB258" s="55"/>
      <c r="BC258" s="55"/>
      <c r="BD258" s="55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6" t="s">
        <v>9</v>
      </c>
      <c r="C259" s="57" t="s">
        <v>419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8" t="s">
        <v>448</v>
      </c>
      <c r="W259" s="58"/>
      <c r="X259" s="58"/>
      <c r="Y259" s="25" t="s">
        <v>71</v>
      </c>
      <c r="Z259" s="25"/>
      <c r="AA259" s="25"/>
      <c r="AB259" s="25"/>
      <c r="AC259" s="25" t="s">
        <v>71</v>
      </c>
      <c r="AD259" s="25"/>
      <c r="AE259" s="25"/>
      <c r="AF259" s="25" t="s">
        <v>71</v>
      </c>
      <c r="AG259" s="25"/>
      <c r="AH259" s="25"/>
      <c r="AI259" s="25" t="s">
        <v>71</v>
      </c>
      <c r="AJ259" s="25"/>
      <c r="AK259" s="25" t="s">
        <v>71</v>
      </c>
      <c r="AL259" s="25"/>
      <c r="AM259" s="25"/>
      <c r="AN259" s="25"/>
      <c r="AO259" s="25" t="s">
        <v>71</v>
      </c>
      <c r="AP259" s="25"/>
      <c r="AQ259" s="25"/>
      <c r="AR259" s="25" t="s">
        <v>71</v>
      </c>
      <c r="AS259" s="25"/>
      <c r="AT259" s="25"/>
      <c r="AU259" s="25" t="s">
        <v>71</v>
      </c>
      <c r="AV259" s="25"/>
      <c r="AW259" s="25"/>
      <c r="AX259" s="25" t="s">
        <v>71</v>
      </c>
      <c r="AY259" s="25"/>
      <c r="AZ259" s="46" t="s">
        <v>71</v>
      </c>
      <c r="BA259" s="46"/>
      <c r="BB259" s="46"/>
      <c r="BC259" s="46"/>
      <c r="BD259" s="4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421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449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226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424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24" customHeight="1">
      <c r="A263" s="39"/>
      <c r="B263" s="56" t="s">
        <v>9</v>
      </c>
      <c r="C263" s="57" t="s">
        <v>426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24" customHeight="1">
      <c r="A264" s="39"/>
      <c r="B264" s="56" t="s">
        <v>9</v>
      </c>
      <c r="C264" s="57" t="s">
        <v>428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453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13.5" customHeight="1">
      <c r="A265" s="39"/>
      <c r="B265" s="56" t="s">
        <v>9</v>
      </c>
      <c r="C265" s="57" t="s">
        <v>430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454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24" customHeight="1">
      <c r="A266" s="39"/>
      <c r="B266" s="56" t="s">
        <v>9</v>
      </c>
      <c r="C266" s="57" t="s">
        <v>432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455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13.5" customHeight="1">
      <c r="A267" s="39"/>
      <c r="B267" s="44" t="s">
        <v>456</v>
      </c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5" t="s">
        <v>457</v>
      </c>
      <c r="W267" s="45"/>
      <c r="X267" s="45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47" t="s">
        <v>416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8" t="s">
        <v>9</v>
      </c>
      <c r="W268" s="48"/>
      <c r="X268" s="48"/>
      <c r="Y268" s="49" t="s">
        <v>9</v>
      </c>
      <c r="Z268" s="49"/>
      <c r="AA268" s="49"/>
      <c r="AB268" s="49"/>
      <c r="AC268" s="49" t="s">
        <v>9</v>
      </c>
      <c r="AD268" s="49"/>
      <c r="AE268" s="49"/>
      <c r="AF268" s="49" t="s">
        <v>9</v>
      </c>
      <c r="AG268" s="49"/>
      <c r="AH268" s="49"/>
      <c r="AI268" s="49" t="s">
        <v>9</v>
      </c>
      <c r="AJ268" s="49"/>
      <c r="AK268" s="49" t="s">
        <v>9</v>
      </c>
      <c r="AL268" s="49"/>
      <c r="AM268" s="49"/>
      <c r="AN268" s="49"/>
      <c r="AO268" s="49" t="s">
        <v>9</v>
      </c>
      <c r="AP268" s="49"/>
      <c r="AQ268" s="49"/>
      <c r="AR268" s="49" t="s">
        <v>9</v>
      </c>
      <c r="AS268" s="49"/>
      <c r="AT268" s="49"/>
      <c r="AU268" s="49" t="s">
        <v>9</v>
      </c>
      <c r="AV268" s="49"/>
      <c r="AW268" s="49"/>
      <c r="AX268" s="49" t="s">
        <v>9</v>
      </c>
      <c r="AY268" s="49"/>
      <c r="AZ268" s="50" t="s">
        <v>9</v>
      </c>
      <c r="BA268" s="50"/>
      <c r="BB268" s="50"/>
      <c r="BC268" s="50"/>
      <c r="BD268" s="50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51" t="s">
        <v>9</v>
      </c>
      <c r="C269" s="52" t="s">
        <v>417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3" t="s">
        <v>458</v>
      </c>
      <c r="W269" s="53"/>
      <c r="X269" s="53"/>
      <c r="Y269" s="54" t="s">
        <v>71</v>
      </c>
      <c r="Z269" s="54"/>
      <c r="AA269" s="54"/>
      <c r="AB269" s="54"/>
      <c r="AC269" s="54" t="s">
        <v>71</v>
      </c>
      <c r="AD269" s="54"/>
      <c r="AE269" s="54"/>
      <c r="AF269" s="54" t="s">
        <v>71</v>
      </c>
      <c r="AG269" s="54"/>
      <c r="AH269" s="54"/>
      <c r="AI269" s="54" t="s">
        <v>71</v>
      </c>
      <c r="AJ269" s="54"/>
      <c r="AK269" s="54" t="s">
        <v>71</v>
      </c>
      <c r="AL269" s="54"/>
      <c r="AM269" s="54"/>
      <c r="AN269" s="54"/>
      <c r="AO269" s="54" t="s">
        <v>71</v>
      </c>
      <c r="AP269" s="54"/>
      <c r="AQ269" s="54"/>
      <c r="AR269" s="54" t="s">
        <v>71</v>
      </c>
      <c r="AS269" s="54"/>
      <c r="AT269" s="54"/>
      <c r="AU269" s="54" t="s">
        <v>71</v>
      </c>
      <c r="AV269" s="54"/>
      <c r="AW269" s="54"/>
      <c r="AX269" s="54" t="s">
        <v>71</v>
      </c>
      <c r="AY269" s="54"/>
      <c r="AZ269" s="55" t="s">
        <v>71</v>
      </c>
      <c r="BA269" s="55"/>
      <c r="BB269" s="55"/>
      <c r="BC269" s="55"/>
      <c r="BD269" s="55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6" t="s">
        <v>9</v>
      </c>
      <c r="C270" s="57" t="s">
        <v>419</v>
      </c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8" t="s">
        <v>459</v>
      </c>
      <c r="W270" s="58"/>
      <c r="X270" s="58"/>
      <c r="Y270" s="25" t="s">
        <v>71</v>
      </c>
      <c r="Z270" s="25"/>
      <c r="AA270" s="25"/>
      <c r="AB270" s="25"/>
      <c r="AC270" s="25" t="s">
        <v>71</v>
      </c>
      <c r="AD270" s="25"/>
      <c r="AE270" s="25"/>
      <c r="AF270" s="25" t="s">
        <v>71</v>
      </c>
      <c r="AG270" s="25"/>
      <c r="AH270" s="25"/>
      <c r="AI270" s="25" t="s">
        <v>71</v>
      </c>
      <c r="AJ270" s="25"/>
      <c r="AK270" s="25" t="s">
        <v>71</v>
      </c>
      <c r="AL270" s="25"/>
      <c r="AM270" s="25"/>
      <c r="AN270" s="25"/>
      <c r="AO270" s="25" t="s">
        <v>71</v>
      </c>
      <c r="AP270" s="25"/>
      <c r="AQ270" s="25"/>
      <c r="AR270" s="25" t="s">
        <v>71</v>
      </c>
      <c r="AS270" s="25"/>
      <c r="AT270" s="25"/>
      <c r="AU270" s="25" t="s">
        <v>71</v>
      </c>
      <c r="AV270" s="25"/>
      <c r="AW270" s="25"/>
      <c r="AX270" s="25" t="s">
        <v>71</v>
      </c>
      <c r="AY270" s="25"/>
      <c r="AZ270" s="46" t="s">
        <v>71</v>
      </c>
      <c r="BA270" s="46"/>
      <c r="BB270" s="46"/>
      <c r="BC270" s="46"/>
      <c r="BD270" s="4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421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460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226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424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24" customHeight="1">
      <c r="A274" s="39"/>
      <c r="B274" s="56" t="s">
        <v>9</v>
      </c>
      <c r="C274" s="57" t="s">
        <v>426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24" customHeight="1">
      <c r="A275" s="39"/>
      <c r="B275" s="56" t="s">
        <v>9</v>
      </c>
      <c r="C275" s="57" t="s">
        <v>428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464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13.5" customHeight="1">
      <c r="A276" s="39"/>
      <c r="B276" s="56" t="s">
        <v>9</v>
      </c>
      <c r="C276" s="57" t="s">
        <v>430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465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24" customHeight="1">
      <c r="A277" s="39"/>
      <c r="B277" s="56" t="s">
        <v>9</v>
      </c>
      <c r="C277" s="57" t="s">
        <v>432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466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24" customHeight="1">
      <c r="A278" s="39"/>
      <c r="B278" s="44" t="s">
        <v>467</v>
      </c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5" t="s">
        <v>468</v>
      </c>
      <c r="W278" s="45"/>
      <c r="X278" s="45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13.5" customHeight="1">
      <c r="A279" s="39"/>
      <c r="B279" s="47" t="s">
        <v>416</v>
      </c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 t="s">
        <v>9</v>
      </c>
      <c r="W279" s="48"/>
      <c r="X279" s="48"/>
      <c r="Y279" s="49" t="s">
        <v>9</v>
      </c>
      <c r="Z279" s="49"/>
      <c r="AA279" s="49"/>
      <c r="AB279" s="49"/>
      <c r="AC279" s="49" t="s">
        <v>9</v>
      </c>
      <c r="AD279" s="49"/>
      <c r="AE279" s="49"/>
      <c r="AF279" s="49" t="s">
        <v>9</v>
      </c>
      <c r="AG279" s="49"/>
      <c r="AH279" s="49"/>
      <c r="AI279" s="49" t="s">
        <v>9</v>
      </c>
      <c r="AJ279" s="49"/>
      <c r="AK279" s="49" t="s">
        <v>9</v>
      </c>
      <c r="AL279" s="49"/>
      <c r="AM279" s="49"/>
      <c r="AN279" s="49"/>
      <c r="AO279" s="49" t="s">
        <v>9</v>
      </c>
      <c r="AP279" s="49"/>
      <c r="AQ279" s="49"/>
      <c r="AR279" s="49" t="s">
        <v>9</v>
      </c>
      <c r="AS279" s="49"/>
      <c r="AT279" s="49"/>
      <c r="AU279" s="49" t="s">
        <v>9</v>
      </c>
      <c r="AV279" s="49"/>
      <c r="AW279" s="49"/>
      <c r="AX279" s="49" t="s">
        <v>9</v>
      </c>
      <c r="AY279" s="49"/>
      <c r="AZ279" s="50" t="s">
        <v>9</v>
      </c>
      <c r="BA279" s="50"/>
      <c r="BB279" s="50"/>
      <c r="BC279" s="50"/>
      <c r="BD279" s="50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51" t="s">
        <v>9</v>
      </c>
      <c r="C280" s="52" t="s">
        <v>417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3" t="s">
        <v>469</v>
      </c>
      <c r="W280" s="53"/>
      <c r="X280" s="53"/>
      <c r="Y280" s="54" t="s">
        <v>71</v>
      </c>
      <c r="Z280" s="54"/>
      <c r="AA280" s="54"/>
      <c r="AB280" s="54"/>
      <c r="AC280" s="54" t="s">
        <v>71</v>
      </c>
      <c r="AD280" s="54"/>
      <c r="AE280" s="54"/>
      <c r="AF280" s="54" t="s">
        <v>71</v>
      </c>
      <c r="AG280" s="54"/>
      <c r="AH280" s="54"/>
      <c r="AI280" s="54" t="s">
        <v>71</v>
      </c>
      <c r="AJ280" s="54"/>
      <c r="AK280" s="54" t="s">
        <v>71</v>
      </c>
      <c r="AL280" s="54"/>
      <c r="AM280" s="54"/>
      <c r="AN280" s="54"/>
      <c r="AO280" s="54" t="s">
        <v>71</v>
      </c>
      <c r="AP280" s="54"/>
      <c r="AQ280" s="54"/>
      <c r="AR280" s="54" t="s">
        <v>71</v>
      </c>
      <c r="AS280" s="54"/>
      <c r="AT280" s="54"/>
      <c r="AU280" s="54" t="s">
        <v>71</v>
      </c>
      <c r="AV280" s="54"/>
      <c r="AW280" s="54"/>
      <c r="AX280" s="54" t="s">
        <v>71</v>
      </c>
      <c r="AY280" s="54"/>
      <c r="AZ280" s="55" t="s">
        <v>71</v>
      </c>
      <c r="BA280" s="55"/>
      <c r="BB280" s="55"/>
      <c r="BC280" s="55"/>
      <c r="BD280" s="55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6" t="s">
        <v>9</v>
      </c>
      <c r="C281" s="57" t="s">
        <v>419</v>
      </c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8" t="s">
        <v>470</v>
      </c>
      <c r="W281" s="58"/>
      <c r="X281" s="58"/>
      <c r="Y281" s="25" t="s">
        <v>71</v>
      </c>
      <c r="Z281" s="25"/>
      <c r="AA281" s="25"/>
      <c r="AB281" s="25"/>
      <c r="AC281" s="25" t="s">
        <v>71</v>
      </c>
      <c r="AD281" s="25"/>
      <c r="AE281" s="25"/>
      <c r="AF281" s="25" t="s">
        <v>71</v>
      </c>
      <c r="AG281" s="25"/>
      <c r="AH281" s="25"/>
      <c r="AI281" s="25" t="s">
        <v>71</v>
      </c>
      <c r="AJ281" s="25"/>
      <c r="AK281" s="25" t="s">
        <v>71</v>
      </c>
      <c r="AL281" s="25"/>
      <c r="AM281" s="25"/>
      <c r="AN281" s="25"/>
      <c r="AO281" s="25" t="s">
        <v>71</v>
      </c>
      <c r="AP281" s="25"/>
      <c r="AQ281" s="25"/>
      <c r="AR281" s="25" t="s">
        <v>71</v>
      </c>
      <c r="AS281" s="25"/>
      <c r="AT281" s="25"/>
      <c r="AU281" s="25" t="s">
        <v>71</v>
      </c>
      <c r="AV281" s="25"/>
      <c r="AW281" s="25"/>
      <c r="AX281" s="25" t="s">
        <v>71</v>
      </c>
      <c r="AY281" s="25"/>
      <c r="AZ281" s="46" t="s">
        <v>71</v>
      </c>
      <c r="BA281" s="46"/>
      <c r="BB281" s="46"/>
      <c r="BC281" s="46"/>
      <c r="BD281" s="4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421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471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226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424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24" customHeight="1">
      <c r="A285" s="39"/>
      <c r="B285" s="56" t="s">
        <v>9</v>
      </c>
      <c r="C285" s="57" t="s">
        <v>426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24" customHeight="1">
      <c r="A286" s="39"/>
      <c r="B286" s="56" t="s">
        <v>9</v>
      </c>
      <c r="C286" s="57" t="s">
        <v>428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475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13.5" customHeight="1">
      <c r="A287" s="39"/>
      <c r="B287" s="56" t="s">
        <v>9</v>
      </c>
      <c r="C287" s="57" t="s">
        <v>430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476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24" customHeight="1">
      <c r="A288" s="39"/>
      <c r="B288" s="56" t="s">
        <v>9</v>
      </c>
      <c r="C288" s="57" t="s">
        <v>432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477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13.5" customHeight="1">
      <c r="A289" s="39"/>
      <c r="B289" s="44" t="s">
        <v>478</v>
      </c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5" t="s">
        <v>479</v>
      </c>
      <c r="W289" s="45"/>
      <c r="X289" s="45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47" t="s">
        <v>416</v>
      </c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8" t="s">
        <v>9</v>
      </c>
      <c r="W290" s="48"/>
      <c r="X290" s="48"/>
      <c r="Y290" s="49" t="s">
        <v>9</v>
      </c>
      <c r="Z290" s="49"/>
      <c r="AA290" s="49"/>
      <c r="AB290" s="49"/>
      <c r="AC290" s="49" t="s">
        <v>9</v>
      </c>
      <c r="AD290" s="49"/>
      <c r="AE290" s="49"/>
      <c r="AF290" s="49" t="s">
        <v>9</v>
      </c>
      <c r="AG290" s="49"/>
      <c r="AH290" s="49"/>
      <c r="AI290" s="49" t="s">
        <v>9</v>
      </c>
      <c r="AJ290" s="49"/>
      <c r="AK290" s="49" t="s">
        <v>9</v>
      </c>
      <c r="AL290" s="49"/>
      <c r="AM290" s="49"/>
      <c r="AN290" s="49"/>
      <c r="AO290" s="49" t="s">
        <v>9</v>
      </c>
      <c r="AP290" s="49"/>
      <c r="AQ290" s="49"/>
      <c r="AR290" s="49" t="s">
        <v>9</v>
      </c>
      <c r="AS290" s="49"/>
      <c r="AT290" s="49"/>
      <c r="AU290" s="49" t="s">
        <v>9</v>
      </c>
      <c r="AV290" s="49"/>
      <c r="AW290" s="49"/>
      <c r="AX290" s="49" t="s">
        <v>9</v>
      </c>
      <c r="AY290" s="49"/>
      <c r="AZ290" s="50" t="s">
        <v>9</v>
      </c>
      <c r="BA290" s="50"/>
      <c r="BB290" s="50"/>
      <c r="BC290" s="50"/>
      <c r="BD290" s="50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51" t="s">
        <v>9</v>
      </c>
      <c r="C291" s="52" t="s">
        <v>417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3" t="s">
        <v>480</v>
      </c>
      <c r="W291" s="53"/>
      <c r="X291" s="53"/>
      <c r="Y291" s="54" t="s">
        <v>71</v>
      </c>
      <c r="Z291" s="54"/>
      <c r="AA291" s="54"/>
      <c r="AB291" s="54"/>
      <c r="AC291" s="54" t="s">
        <v>71</v>
      </c>
      <c r="AD291" s="54"/>
      <c r="AE291" s="54"/>
      <c r="AF291" s="54" t="s">
        <v>71</v>
      </c>
      <c r="AG291" s="54"/>
      <c r="AH291" s="54"/>
      <c r="AI291" s="54" t="s">
        <v>71</v>
      </c>
      <c r="AJ291" s="54"/>
      <c r="AK291" s="54" t="s">
        <v>71</v>
      </c>
      <c r="AL291" s="54"/>
      <c r="AM291" s="54"/>
      <c r="AN291" s="54"/>
      <c r="AO291" s="54" t="s">
        <v>71</v>
      </c>
      <c r="AP291" s="54"/>
      <c r="AQ291" s="54"/>
      <c r="AR291" s="54" t="s">
        <v>71</v>
      </c>
      <c r="AS291" s="54"/>
      <c r="AT291" s="54"/>
      <c r="AU291" s="54" t="s">
        <v>71</v>
      </c>
      <c r="AV291" s="54"/>
      <c r="AW291" s="54"/>
      <c r="AX291" s="54" t="s">
        <v>71</v>
      </c>
      <c r="AY291" s="54"/>
      <c r="AZ291" s="55" t="s">
        <v>71</v>
      </c>
      <c r="BA291" s="55"/>
      <c r="BB291" s="55"/>
      <c r="BC291" s="55"/>
      <c r="BD291" s="55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6" t="s">
        <v>9</v>
      </c>
      <c r="C292" s="57" t="s">
        <v>419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8" t="s">
        <v>481</v>
      </c>
      <c r="W292" s="58"/>
      <c r="X292" s="58"/>
      <c r="Y292" s="25" t="s">
        <v>71</v>
      </c>
      <c r="Z292" s="25"/>
      <c r="AA292" s="25"/>
      <c r="AB292" s="25"/>
      <c r="AC292" s="25" t="s">
        <v>71</v>
      </c>
      <c r="AD292" s="25"/>
      <c r="AE292" s="25"/>
      <c r="AF292" s="25" t="s">
        <v>71</v>
      </c>
      <c r="AG292" s="25"/>
      <c r="AH292" s="25"/>
      <c r="AI292" s="25" t="s">
        <v>71</v>
      </c>
      <c r="AJ292" s="25"/>
      <c r="AK292" s="25" t="s">
        <v>71</v>
      </c>
      <c r="AL292" s="25"/>
      <c r="AM292" s="25"/>
      <c r="AN292" s="25"/>
      <c r="AO292" s="25" t="s">
        <v>71</v>
      </c>
      <c r="AP292" s="25"/>
      <c r="AQ292" s="25"/>
      <c r="AR292" s="25" t="s">
        <v>71</v>
      </c>
      <c r="AS292" s="25"/>
      <c r="AT292" s="25"/>
      <c r="AU292" s="25" t="s">
        <v>71</v>
      </c>
      <c r="AV292" s="25"/>
      <c r="AW292" s="25"/>
      <c r="AX292" s="25" t="s">
        <v>71</v>
      </c>
      <c r="AY292" s="25"/>
      <c r="AZ292" s="46" t="s">
        <v>71</v>
      </c>
      <c r="BA292" s="46"/>
      <c r="BB292" s="46"/>
      <c r="BC292" s="46"/>
      <c r="BD292" s="4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421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482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226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424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24" customHeight="1">
      <c r="A296" s="39"/>
      <c r="B296" s="56" t="s">
        <v>9</v>
      </c>
      <c r="C296" s="57" t="s">
        <v>426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24" customHeight="1">
      <c r="A297" s="39"/>
      <c r="B297" s="56" t="s">
        <v>9</v>
      </c>
      <c r="C297" s="57" t="s">
        <v>428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486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13.5" customHeight="1">
      <c r="A298" s="39"/>
      <c r="B298" s="56" t="s">
        <v>9</v>
      </c>
      <c r="C298" s="57" t="s">
        <v>430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487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24" customHeight="1">
      <c r="A299" s="39"/>
      <c r="B299" s="56" t="s">
        <v>9</v>
      </c>
      <c r="C299" s="57" t="s">
        <v>432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488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13.5" customHeight="1">
      <c r="A300" s="39"/>
      <c r="B300" s="44" t="s">
        <v>489</v>
      </c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5" t="s">
        <v>490</v>
      </c>
      <c r="W300" s="45"/>
      <c r="X300" s="45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47" t="s">
        <v>416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8" t="s">
        <v>9</v>
      </c>
      <c r="W301" s="48"/>
      <c r="X301" s="48"/>
      <c r="Y301" s="49" t="s">
        <v>9</v>
      </c>
      <c r="Z301" s="49"/>
      <c r="AA301" s="49"/>
      <c r="AB301" s="49"/>
      <c r="AC301" s="49" t="s">
        <v>9</v>
      </c>
      <c r="AD301" s="49"/>
      <c r="AE301" s="49"/>
      <c r="AF301" s="49" t="s">
        <v>9</v>
      </c>
      <c r="AG301" s="49"/>
      <c r="AH301" s="49"/>
      <c r="AI301" s="49" t="s">
        <v>9</v>
      </c>
      <c r="AJ301" s="49"/>
      <c r="AK301" s="49" t="s">
        <v>9</v>
      </c>
      <c r="AL301" s="49"/>
      <c r="AM301" s="49"/>
      <c r="AN301" s="49"/>
      <c r="AO301" s="49" t="s">
        <v>9</v>
      </c>
      <c r="AP301" s="49"/>
      <c r="AQ301" s="49"/>
      <c r="AR301" s="49" t="s">
        <v>9</v>
      </c>
      <c r="AS301" s="49"/>
      <c r="AT301" s="49"/>
      <c r="AU301" s="49" t="s">
        <v>9</v>
      </c>
      <c r="AV301" s="49"/>
      <c r="AW301" s="49"/>
      <c r="AX301" s="49" t="s">
        <v>9</v>
      </c>
      <c r="AY301" s="49"/>
      <c r="AZ301" s="50" t="s">
        <v>9</v>
      </c>
      <c r="BA301" s="50"/>
      <c r="BB301" s="50"/>
      <c r="BC301" s="50"/>
      <c r="BD301" s="50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51" t="s">
        <v>9</v>
      </c>
      <c r="C302" s="52" t="s">
        <v>417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3" t="s">
        <v>491</v>
      </c>
      <c r="W302" s="53"/>
      <c r="X302" s="53"/>
      <c r="Y302" s="54" t="s">
        <v>71</v>
      </c>
      <c r="Z302" s="54"/>
      <c r="AA302" s="54"/>
      <c r="AB302" s="54"/>
      <c r="AC302" s="54" t="s">
        <v>71</v>
      </c>
      <c r="AD302" s="54"/>
      <c r="AE302" s="54"/>
      <c r="AF302" s="54" t="s">
        <v>71</v>
      </c>
      <c r="AG302" s="54"/>
      <c r="AH302" s="54"/>
      <c r="AI302" s="54" t="s">
        <v>71</v>
      </c>
      <c r="AJ302" s="54"/>
      <c r="AK302" s="54" t="s">
        <v>71</v>
      </c>
      <c r="AL302" s="54"/>
      <c r="AM302" s="54"/>
      <c r="AN302" s="54"/>
      <c r="AO302" s="54" t="s">
        <v>71</v>
      </c>
      <c r="AP302" s="54"/>
      <c r="AQ302" s="54"/>
      <c r="AR302" s="54" t="s">
        <v>71</v>
      </c>
      <c r="AS302" s="54"/>
      <c r="AT302" s="54"/>
      <c r="AU302" s="54" t="s">
        <v>71</v>
      </c>
      <c r="AV302" s="54"/>
      <c r="AW302" s="54"/>
      <c r="AX302" s="54" t="s">
        <v>71</v>
      </c>
      <c r="AY302" s="54"/>
      <c r="AZ302" s="55" t="s">
        <v>71</v>
      </c>
      <c r="BA302" s="55"/>
      <c r="BB302" s="55"/>
      <c r="BC302" s="55"/>
      <c r="BD302" s="55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6" t="s">
        <v>9</v>
      </c>
      <c r="C303" s="57" t="s">
        <v>419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8" t="s">
        <v>492</v>
      </c>
      <c r="W303" s="58"/>
      <c r="X303" s="58"/>
      <c r="Y303" s="25" t="s">
        <v>71</v>
      </c>
      <c r="Z303" s="25"/>
      <c r="AA303" s="25"/>
      <c r="AB303" s="25"/>
      <c r="AC303" s="25" t="s">
        <v>71</v>
      </c>
      <c r="AD303" s="25"/>
      <c r="AE303" s="25"/>
      <c r="AF303" s="25" t="s">
        <v>71</v>
      </c>
      <c r="AG303" s="25"/>
      <c r="AH303" s="25"/>
      <c r="AI303" s="25" t="s">
        <v>71</v>
      </c>
      <c r="AJ303" s="25"/>
      <c r="AK303" s="25" t="s">
        <v>71</v>
      </c>
      <c r="AL303" s="25"/>
      <c r="AM303" s="25"/>
      <c r="AN303" s="25"/>
      <c r="AO303" s="25" t="s">
        <v>71</v>
      </c>
      <c r="AP303" s="25"/>
      <c r="AQ303" s="25"/>
      <c r="AR303" s="25" t="s">
        <v>71</v>
      </c>
      <c r="AS303" s="25"/>
      <c r="AT303" s="25"/>
      <c r="AU303" s="25" t="s">
        <v>71</v>
      </c>
      <c r="AV303" s="25"/>
      <c r="AW303" s="25"/>
      <c r="AX303" s="25" t="s">
        <v>71</v>
      </c>
      <c r="AY303" s="25"/>
      <c r="AZ303" s="46" t="s">
        <v>71</v>
      </c>
      <c r="BA303" s="46"/>
      <c r="BB303" s="46"/>
      <c r="BC303" s="46"/>
      <c r="BD303" s="4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421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493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226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424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24" customHeight="1">
      <c r="A307" s="39"/>
      <c r="B307" s="56" t="s">
        <v>9</v>
      </c>
      <c r="C307" s="57" t="s">
        <v>426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24" customHeight="1">
      <c r="A308" s="39"/>
      <c r="B308" s="56" t="s">
        <v>9</v>
      </c>
      <c r="C308" s="57" t="s">
        <v>428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497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13.5" customHeight="1">
      <c r="A309" s="39"/>
      <c r="B309" s="56" t="s">
        <v>9</v>
      </c>
      <c r="C309" s="57" t="s">
        <v>430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498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24" customHeight="1">
      <c r="A310" s="39"/>
      <c r="B310" s="56" t="s">
        <v>9</v>
      </c>
      <c r="C310" s="57" t="s">
        <v>432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499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13.5" customHeight="1">
      <c r="A311" s="39"/>
      <c r="B311" s="44" t="s">
        <v>500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5" t="s">
        <v>501</v>
      </c>
      <c r="W311" s="45"/>
      <c r="X311" s="45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4">
        <f>906745.67</f>
        <v>906745.67</v>
      </c>
      <c r="AP311" s="24"/>
      <c r="AQ311" s="24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59">
        <f>906745.67</f>
        <v>906745.67</v>
      </c>
      <c r="BA311" s="59"/>
      <c r="BB311" s="59"/>
      <c r="BC311" s="59"/>
      <c r="BD311" s="5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47" t="s">
        <v>416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8" t="s">
        <v>9</v>
      </c>
      <c r="W312" s="48"/>
      <c r="X312" s="48"/>
      <c r="Y312" s="49" t="s">
        <v>9</v>
      </c>
      <c r="Z312" s="49"/>
      <c r="AA312" s="49"/>
      <c r="AB312" s="49"/>
      <c r="AC312" s="49" t="s">
        <v>9</v>
      </c>
      <c r="AD312" s="49"/>
      <c r="AE312" s="49"/>
      <c r="AF312" s="49" t="s">
        <v>9</v>
      </c>
      <c r="AG312" s="49"/>
      <c r="AH312" s="49"/>
      <c r="AI312" s="49" t="s">
        <v>9</v>
      </c>
      <c r="AJ312" s="49"/>
      <c r="AK312" s="49" t="s">
        <v>9</v>
      </c>
      <c r="AL312" s="49"/>
      <c r="AM312" s="49"/>
      <c r="AN312" s="49"/>
      <c r="AO312" s="49" t="s">
        <v>9</v>
      </c>
      <c r="AP312" s="49"/>
      <c r="AQ312" s="49"/>
      <c r="AR312" s="49" t="s">
        <v>9</v>
      </c>
      <c r="AS312" s="49"/>
      <c r="AT312" s="49"/>
      <c r="AU312" s="49" t="s">
        <v>9</v>
      </c>
      <c r="AV312" s="49"/>
      <c r="AW312" s="49"/>
      <c r="AX312" s="49" t="s">
        <v>9</v>
      </c>
      <c r="AY312" s="49"/>
      <c r="AZ312" s="50" t="s">
        <v>9</v>
      </c>
      <c r="BA312" s="50"/>
      <c r="BB312" s="50"/>
      <c r="BC312" s="50"/>
      <c r="BD312" s="50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51" t="s">
        <v>9</v>
      </c>
      <c r="C313" s="52" t="s">
        <v>417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3" t="s">
        <v>502</v>
      </c>
      <c r="W313" s="53"/>
      <c r="X313" s="53"/>
      <c r="Y313" s="54" t="s">
        <v>71</v>
      </c>
      <c r="Z313" s="54"/>
      <c r="AA313" s="54"/>
      <c r="AB313" s="54"/>
      <c r="AC313" s="54" t="s">
        <v>71</v>
      </c>
      <c r="AD313" s="54"/>
      <c r="AE313" s="54"/>
      <c r="AF313" s="54" t="s">
        <v>71</v>
      </c>
      <c r="AG313" s="54"/>
      <c r="AH313" s="54"/>
      <c r="AI313" s="54" t="s">
        <v>71</v>
      </c>
      <c r="AJ313" s="54"/>
      <c r="AK313" s="54" t="s">
        <v>71</v>
      </c>
      <c r="AL313" s="54"/>
      <c r="AM313" s="54"/>
      <c r="AN313" s="54"/>
      <c r="AO313" s="54" t="s">
        <v>71</v>
      </c>
      <c r="AP313" s="54"/>
      <c r="AQ313" s="54"/>
      <c r="AR313" s="54" t="s">
        <v>71</v>
      </c>
      <c r="AS313" s="54"/>
      <c r="AT313" s="54"/>
      <c r="AU313" s="54" t="s">
        <v>71</v>
      </c>
      <c r="AV313" s="54"/>
      <c r="AW313" s="54"/>
      <c r="AX313" s="54" t="s">
        <v>71</v>
      </c>
      <c r="AY313" s="54"/>
      <c r="AZ313" s="55" t="s">
        <v>71</v>
      </c>
      <c r="BA313" s="55"/>
      <c r="BB313" s="55"/>
      <c r="BC313" s="55"/>
      <c r="BD313" s="55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6" t="s">
        <v>9</v>
      </c>
      <c r="C314" s="57" t="s">
        <v>419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8" t="s">
        <v>503</v>
      </c>
      <c r="W314" s="58"/>
      <c r="X314" s="58"/>
      <c r="Y314" s="25" t="s">
        <v>71</v>
      </c>
      <c r="Z314" s="25"/>
      <c r="AA314" s="25"/>
      <c r="AB314" s="25"/>
      <c r="AC314" s="25" t="s">
        <v>71</v>
      </c>
      <c r="AD314" s="25"/>
      <c r="AE314" s="25"/>
      <c r="AF314" s="25" t="s">
        <v>71</v>
      </c>
      <c r="AG314" s="25"/>
      <c r="AH314" s="25"/>
      <c r="AI314" s="25" t="s">
        <v>71</v>
      </c>
      <c r="AJ314" s="25"/>
      <c r="AK314" s="25" t="s">
        <v>71</v>
      </c>
      <c r="AL314" s="25"/>
      <c r="AM314" s="25"/>
      <c r="AN314" s="25"/>
      <c r="AO314" s="25" t="s">
        <v>71</v>
      </c>
      <c r="AP314" s="25"/>
      <c r="AQ314" s="25"/>
      <c r="AR314" s="25" t="s">
        <v>71</v>
      </c>
      <c r="AS314" s="25"/>
      <c r="AT314" s="25"/>
      <c r="AU314" s="25" t="s">
        <v>71</v>
      </c>
      <c r="AV314" s="25"/>
      <c r="AW314" s="25"/>
      <c r="AX314" s="25" t="s">
        <v>71</v>
      </c>
      <c r="AY314" s="25"/>
      <c r="AZ314" s="46" t="s">
        <v>71</v>
      </c>
      <c r="BA314" s="46"/>
      <c r="BB314" s="46"/>
      <c r="BC314" s="46"/>
      <c r="BD314" s="4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421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504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226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4">
        <f>906745.67</f>
        <v>906745.67</v>
      </c>
      <c r="AP316" s="24"/>
      <c r="AQ316" s="24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59">
        <f>906745.67</f>
        <v>906745.67</v>
      </c>
      <c r="BA316" s="59"/>
      <c r="BB316" s="59"/>
      <c r="BC316" s="59"/>
      <c r="BD316" s="5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424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5" t="s">
        <v>71</v>
      </c>
      <c r="AP317" s="25"/>
      <c r="AQ317" s="25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46" t="s">
        <v>71</v>
      </c>
      <c r="BA317" s="46"/>
      <c r="BB317" s="46"/>
      <c r="BC317" s="46"/>
      <c r="BD317" s="4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24" customHeight="1">
      <c r="A318" s="39"/>
      <c r="B318" s="56" t="s">
        <v>9</v>
      </c>
      <c r="C318" s="57" t="s">
        <v>426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24" customHeight="1">
      <c r="A319" s="39"/>
      <c r="B319" s="56" t="s">
        <v>9</v>
      </c>
      <c r="C319" s="57" t="s">
        <v>428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508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13.5" customHeight="1">
      <c r="A320" s="39"/>
      <c r="B320" s="56" t="s">
        <v>9</v>
      </c>
      <c r="C320" s="57" t="s">
        <v>430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509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24" customHeight="1">
      <c r="A321" s="39"/>
      <c r="B321" s="56" t="s">
        <v>9</v>
      </c>
      <c r="C321" s="57" t="s">
        <v>432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510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13.5" customHeight="1">
      <c r="A322" s="39"/>
      <c r="B322" s="44" t="s">
        <v>511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5" t="s">
        <v>512</v>
      </c>
      <c r="W322" s="45"/>
      <c r="X322" s="45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47" t="s">
        <v>416</v>
      </c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8" t="s">
        <v>9</v>
      </c>
      <c r="W323" s="48"/>
      <c r="X323" s="48"/>
      <c r="Y323" s="49" t="s">
        <v>9</v>
      </c>
      <c r="Z323" s="49"/>
      <c r="AA323" s="49"/>
      <c r="AB323" s="49"/>
      <c r="AC323" s="49" t="s">
        <v>9</v>
      </c>
      <c r="AD323" s="49"/>
      <c r="AE323" s="49"/>
      <c r="AF323" s="49" t="s">
        <v>9</v>
      </c>
      <c r="AG323" s="49"/>
      <c r="AH323" s="49"/>
      <c r="AI323" s="49" t="s">
        <v>9</v>
      </c>
      <c r="AJ323" s="49"/>
      <c r="AK323" s="49" t="s">
        <v>9</v>
      </c>
      <c r="AL323" s="49"/>
      <c r="AM323" s="49"/>
      <c r="AN323" s="49"/>
      <c r="AO323" s="49" t="s">
        <v>9</v>
      </c>
      <c r="AP323" s="49"/>
      <c r="AQ323" s="49"/>
      <c r="AR323" s="49" t="s">
        <v>9</v>
      </c>
      <c r="AS323" s="49"/>
      <c r="AT323" s="49"/>
      <c r="AU323" s="49" t="s">
        <v>9</v>
      </c>
      <c r="AV323" s="49"/>
      <c r="AW323" s="49"/>
      <c r="AX323" s="49" t="s">
        <v>9</v>
      </c>
      <c r="AY323" s="49"/>
      <c r="AZ323" s="50" t="s">
        <v>9</v>
      </c>
      <c r="BA323" s="50"/>
      <c r="BB323" s="50"/>
      <c r="BC323" s="50"/>
      <c r="BD323" s="50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51" t="s">
        <v>9</v>
      </c>
      <c r="C324" s="52" t="s">
        <v>417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3" t="s">
        <v>513</v>
      </c>
      <c r="W324" s="53"/>
      <c r="X324" s="53"/>
      <c r="Y324" s="54" t="s">
        <v>71</v>
      </c>
      <c r="Z324" s="54"/>
      <c r="AA324" s="54"/>
      <c r="AB324" s="54"/>
      <c r="AC324" s="54" t="s">
        <v>71</v>
      </c>
      <c r="AD324" s="54"/>
      <c r="AE324" s="54"/>
      <c r="AF324" s="54" t="s">
        <v>71</v>
      </c>
      <c r="AG324" s="54"/>
      <c r="AH324" s="54"/>
      <c r="AI324" s="54" t="s">
        <v>71</v>
      </c>
      <c r="AJ324" s="54"/>
      <c r="AK324" s="54" t="s">
        <v>71</v>
      </c>
      <c r="AL324" s="54"/>
      <c r="AM324" s="54"/>
      <c r="AN324" s="54"/>
      <c r="AO324" s="54" t="s">
        <v>71</v>
      </c>
      <c r="AP324" s="54"/>
      <c r="AQ324" s="54"/>
      <c r="AR324" s="54" t="s">
        <v>71</v>
      </c>
      <c r="AS324" s="54"/>
      <c r="AT324" s="54"/>
      <c r="AU324" s="54" t="s">
        <v>71</v>
      </c>
      <c r="AV324" s="54"/>
      <c r="AW324" s="54"/>
      <c r="AX324" s="54" t="s">
        <v>71</v>
      </c>
      <c r="AY324" s="54"/>
      <c r="AZ324" s="55" t="s">
        <v>71</v>
      </c>
      <c r="BA324" s="55"/>
      <c r="BB324" s="55"/>
      <c r="BC324" s="55"/>
      <c r="BD324" s="55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6" t="s">
        <v>9</v>
      </c>
      <c r="C325" s="57" t="s">
        <v>419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8" t="s">
        <v>514</v>
      </c>
      <c r="W325" s="58"/>
      <c r="X325" s="58"/>
      <c r="Y325" s="25" t="s">
        <v>71</v>
      </c>
      <c r="Z325" s="25"/>
      <c r="AA325" s="25"/>
      <c r="AB325" s="25"/>
      <c r="AC325" s="25" t="s">
        <v>71</v>
      </c>
      <c r="AD325" s="25"/>
      <c r="AE325" s="25"/>
      <c r="AF325" s="25" t="s">
        <v>71</v>
      </c>
      <c r="AG325" s="25"/>
      <c r="AH325" s="25"/>
      <c r="AI325" s="25" t="s">
        <v>71</v>
      </c>
      <c r="AJ325" s="25"/>
      <c r="AK325" s="25" t="s">
        <v>71</v>
      </c>
      <c r="AL325" s="25"/>
      <c r="AM325" s="25"/>
      <c r="AN325" s="25"/>
      <c r="AO325" s="25" t="s">
        <v>71</v>
      </c>
      <c r="AP325" s="25"/>
      <c r="AQ325" s="25"/>
      <c r="AR325" s="25" t="s">
        <v>71</v>
      </c>
      <c r="AS325" s="25"/>
      <c r="AT325" s="25"/>
      <c r="AU325" s="25" t="s">
        <v>71</v>
      </c>
      <c r="AV325" s="25"/>
      <c r="AW325" s="25"/>
      <c r="AX325" s="25" t="s">
        <v>71</v>
      </c>
      <c r="AY325" s="25"/>
      <c r="AZ325" s="46" t="s">
        <v>71</v>
      </c>
      <c r="BA325" s="46"/>
      <c r="BB325" s="46"/>
      <c r="BC325" s="46"/>
      <c r="BD325" s="4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421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515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226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424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24" customHeight="1">
      <c r="A329" s="39"/>
      <c r="B329" s="56" t="s">
        <v>9</v>
      </c>
      <c r="C329" s="57" t="s">
        <v>426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24" customHeight="1">
      <c r="A330" s="39"/>
      <c r="B330" s="56" t="s">
        <v>9</v>
      </c>
      <c r="C330" s="57" t="s">
        <v>428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519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13.5" customHeight="1">
      <c r="A331" s="39"/>
      <c r="B331" s="56" t="s">
        <v>9</v>
      </c>
      <c r="C331" s="57" t="s">
        <v>430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520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24" customHeight="1">
      <c r="A332" s="39"/>
      <c r="B332" s="56" t="s">
        <v>9</v>
      </c>
      <c r="C332" s="57" t="s">
        <v>432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60" t="s">
        <v>521</v>
      </c>
      <c r="W332" s="60"/>
      <c r="X332" s="60"/>
      <c r="Y332" s="61" t="s">
        <v>71</v>
      </c>
      <c r="Z332" s="61"/>
      <c r="AA332" s="61"/>
      <c r="AB332" s="61"/>
      <c r="AC332" s="61" t="s">
        <v>71</v>
      </c>
      <c r="AD332" s="61"/>
      <c r="AE332" s="61"/>
      <c r="AF332" s="61" t="s">
        <v>71</v>
      </c>
      <c r="AG332" s="61"/>
      <c r="AH332" s="61"/>
      <c r="AI332" s="61" t="s">
        <v>71</v>
      </c>
      <c r="AJ332" s="61"/>
      <c r="AK332" s="61" t="s">
        <v>71</v>
      </c>
      <c r="AL332" s="61"/>
      <c r="AM332" s="61"/>
      <c r="AN332" s="61"/>
      <c r="AO332" s="61" t="s">
        <v>71</v>
      </c>
      <c r="AP332" s="61"/>
      <c r="AQ332" s="61"/>
      <c r="AR332" s="61" t="s">
        <v>71</v>
      </c>
      <c r="AS332" s="61"/>
      <c r="AT332" s="61"/>
      <c r="AU332" s="61" t="s">
        <v>71</v>
      </c>
      <c r="AV332" s="61"/>
      <c r="AW332" s="61"/>
      <c r="AX332" s="61" t="s">
        <v>71</v>
      </c>
      <c r="AY332" s="61"/>
      <c r="AZ332" s="62" t="s">
        <v>71</v>
      </c>
      <c r="BA332" s="62"/>
      <c r="BB332" s="62"/>
      <c r="BC332" s="62"/>
      <c r="BD332" s="62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13.5" customHeight="1">
      <c r="A333" s="29" t="s">
        <v>9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29" t="s">
        <v>9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8" t="s">
        <v>522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63" t="s">
        <v>9</v>
      </c>
      <c r="O335" s="63"/>
      <c r="P335" s="63"/>
      <c r="Q335" s="63"/>
      <c r="R335" s="63"/>
      <c r="S335" s="63" t="s">
        <v>523</v>
      </c>
      <c r="T335" s="63"/>
      <c r="U335" s="63"/>
      <c r="V335" s="63"/>
      <c r="W335" s="63"/>
      <c r="X335" s="63"/>
      <c r="Y335" s="63"/>
      <c r="Z335" s="63"/>
      <c r="AA335" s="29" t="s">
        <v>9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29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64" t="s">
        <v>9</v>
      </c>
      <c r="O336" s="65" t="s">
        <v>524</v>
      </c>
      <c r="P336" s="65"/>
      <c r="Q336" s="65"/>
      <c r="R336" s="64" t="s">
        <v>9</v>
      </c>
      <c r="S336" s="64" t="s">
        <v>9</v>
      </c>
      <c r="T336" s="65" t="s">
        <v>525</v>
      </c>
      <c r="U336" s="65"/>
      <c r="V336" s="65"/>
      <c r="W336" s="65"/>
      <c r="X336" s="65"/>
      <c r="Y336" s="65"/>
      <c r="Z336" s="29" t="s">
        <v>9</v>
      </c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7.5" customHeight="1">
      <c r="A337" s="29" t="s">
        <v>9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13.5" customHeight="1">
      <c r="A338" s="8" t="s">
        <v>526</v>
      </c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63" t="s">
        <v>9</v>
      </c>
      <c r="O338" s="63"/>
      <c r="P338" s="63"/>
      <c r="Q338" s="63"/>
      <c r="R338" s="63"/>
      <c r="S338" s="63" t="s">
        <v>527</v>
      </c>
      <c r="T338" s="63"/>
      <c r="U338" s="63"/>
      <c r="V338" s="63"/>
      <c r="W338" s="63"/>
      <c r="X338" s="63"/>
      <c r="Y338" s="63"/>
      <c r="Z338" s="63"/>
      <c r="AA338" s="29" t="s">
        <v>9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29" t="s">
        <v>9</v>
      </c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64" t="s">
        <v>9</v>
      </c>
      <c r="O339" s="65" t="s">
        <v>524</v>
      </c>
      <c r="P339" s="65"/>
      <c r="Q339" s="65"/>
      <c r="R339" s="64" t="s">
        <v>9</v>
      </c>
      <c r="S339" s="64" t="s">
        <v>9</v>
      </c>
      <c r="T339" s="65" t="s">
        <v>525</v>
      </c>
      <c r="U339" s="65"/>
      <c r="V339" s="65"/>
      <c r="W339" s="65"/>
      <c r="X339" s="65"/>
      <c r="Y339" s="65"/>
      <c r="Z339" s="29" t="s">
        <v>9</v>
      </c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7.5" customHeight="1">
      <c r="A340" s="29" t="s">
        <v>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13.5" customHeight="1">
      <c r="A341" s="8" t="s">
        <v>528</v>
      </c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63" t="s">
        <v>9</v>
      </c>
      <c r="O341" s="63"/>
      <c r="P341" s="63"/>
      <c r="Q341" s="63"/>
      <c r="R341" s="63"/>
      <c r="S341" s="63" t="s">
        <v>529</v>
      </c>
      <c r="T341" s="63"/>
      <c r="U341" s="63"/>
      <c r="V341" s="63"/>
      <c r="W341" s="63"/>
      <c r="X341" s="63"/>
      <c r="Y341" s="63"/>
      <c r="Z341" s="63"/>
      <c r="AA341" s="29" t="s">
        <v>9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29" t="s">
        <v>9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64" t="s">
        <v>9</v>
      </c>
      <c r="O342" s="65" t="s">
        <v>524</v>
      </c>
      <c r="P342" s="65"/>
      <c r="Q342" s="65"/>
      <c r="R342" s="64" t="s">
        <v>9</v>
      </c>
      <c r="S342" s="64" t="s">
        <v>9</v>
      </c>
      <c r="T342" s="65" t="s">
        <v>525</v>
      </c>
      <c r="U342" s="65"/>
      <c r="V342" s="65"/>
      <c r="W342" s="65"/>
      <c r="X342" s="65"/>
      <c r="Y342" s="65"/>
      <c r="Z342" s="29" t="s">
        <v>9</v>
      </c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7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13.5" customHeight="1">
      <c r="A344" s="8" t="s">
        <v>530</v>
      </c>
      <c r="B344" s="8"/>
      <c r="C344" s="8"/>
      <c r="D344" s="8"/>
      <c r="E344" s="63" t="s">
        <v>526</v>
      </c>
      <c r="F344" s="63"/>
      <c r="G344" s="63"/>
      <c r="H344" s="63"/>
      <c r="I344" s="63"/>
      <c r="J344" s="63"/>
      <c r="K344" s="63"/>
      <c r="L344" s="63"/>
      <c r="M344" s="63"/>
      <c r="N344" s="63" t="s">
        <v>9</v>
      </c>
      <c r="O344" s="63"/>
      <c r="P344" s="63"/>
      <c r="Q344" s="63"/>
      <c r="R344" s="63"/>
      <c r="S344" s="63" t="s">
        <v>527</v>
      </c>
      <c r="T344" s="63"/>
      <c r="U344" s="63"/>
      <c r="V344" s="63"/>
      <c r="W344" s="63"/>
      <c r="X344" s="63"/>
      <c r="Y344" s="63"/>
      <c r="Z344" s="63"/>
      <c r="AA344" s="29" t="s">
        <v>9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29" t="s">
        <v>9</v>
      </c>
      <c r="B345" s="29"/>
      <c r="C345" s="29"/>
      <c r="D345" s="29"/>
      <c r="E345" s="64" t="s">
        <v>9</v>
      </c>
      <c r="F345" s="65" t="s">
        <v>531</v>
      </c>
      <c r="G345" s="65"/>
      <c r="H345" s="65"/>
      <c r="I345" s="65"/>
      <c r="J345" s="65"/>
      <c r="K345" s="65"/>
      <c r="L345" s="29" t="s">
        <v>9</v>
      </c>
      <c r="M345" s="29"/>
      <c r="N345" s="64" t="s">
        <v>9</v>
      </c>
      <c r="O345" s="65" t="s">
        <v>524</v>
      </c>
      <c r="P345" s="65"/>
      <c r="Q345" s="65"/>
      <c r="R345" s="64" t="s">
        <v>9</v>
      </c>
      <c r="S345" s="64" t="s">
        <v>9</v>
      </c>
      <c r="T345" s="65" t="s">
        <v>525</v>
      </c>
      <c r="U345" s="65"/>
      <c r="V345" s="65"/>
      <c r="W345" s="65"/>
      <c r="X345" s="65"/>
      <c r="Y345" s="65"/>
      <c r="Z345" s="29" t="s">
        <v>9</v>
      </c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5.75" customHeight="1">
      <c r="A346" s="29" t="s">
        <v>9</v>
      </c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3.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66" t="s">
        <v>532</v>
      </c>
      <c r="B348" s="66"/>
      <c r="C348" s="66"/>
      <c r="D348" s="66"/>
      <c r="E348" s="66"/>
      <c r="F348" s="66"/>
      <c r="G348" s="66"/>
      <c r="H348" s="66"/>
      <c r="I348" s="66"/>
      <c r="J348" s="66"/>
      <c r="K348" s="29" t="s">
        <v>9</v>
      </c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67" t="s">
        <v>533</v>
      </c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</row>
  </sheetData>
  <sheetProtection/>
  <mergeCells count="4903">
    <mergeCell ref="A346:BQ346"/>
    <mergeCell ref="A347:BQ347"/>
    <mergeCell ref="A348:J348"/>
    <mergeCell ref="K348:BQ348"/>
    <mergeCell ref="A349:BQ349"/>
    <mergeCell ref="A345:D345"/>
    <mergeCell ref="F345:K345"/>
    <mergeCell ref="L345:M345"/>
    <mergeCell ref="O345:Q345"/>
    <mergeCell ref="T345:Y345"/>
    <mergeCell ref="Z345:BQ345"/>
    <mergeCell ref="A343:BQ343"/>
    <mergeCell ref="A344:D344"/>
    <mergeCell ref="E344:M344"/>
    <mergeCell ref="N344:R344"/>
    <mergeCell ref="S344:Z344"/>
    <mergeCell ref="AA344:BQ344"/>
    <mergeCell ref="A340:BQ340"/>
    <mergeCell ref="A341:M341"/>
    <mergeCell ref="N341:R341"/>
    <mergeCell ref="S341:Z341"/>
    <mergeCell ref="AA341:BQ341"/>
    <mergeCell ref="A342:M342"/>
    <mergeCell ref="O342:Q342"/>
    <mergeCell ref="T342:Y342"/>
    <mergeCell ref="Z342:BQ342"/>
    <mergeCell ref="A337:BQ337"/>
    <mergeCell ref="A338:M338"/>
    <mergeCell ref="N338:R338"/>
    <mergeCell ref="S338:Z338"/>
    <mergeCell ref="AA338:BQ338"/>
    <mergeCell ref="A339:M339"/>
    <mergeCell ref="O339:Q339"/>
    <mergeCell ref="T339:Y339"/>
    <mergeCell ref="Z339:BQ339"/>
    <mergeCell ref="A335:M335"/>
    <mergeCell ref="N335:R335"/>
    <mergeCell ref="S335:Z335"/>
    <mergeCell ref="AA335:BQ335"/>
    <mergeCell ref="A336:M336"/>
    <mergeCell ref="O336:Q336"/>
    <mergeCell ref="T336:Y336"/>
    <mergeCell ref="Z336:BQ336"/>
    <mergeCell ref="AU332:AW332"/>
    <mergeCell ref="AX332:AY332"/>
    <mergeCell ref="AZ332:BD332"/>
    <mergeCell ref="BE230:BQ332"/>
    <mergeCell ref="A333:BQ333"/>
    <mergeCell ref="A334:BQ334"/>
    <mergeCell ref="AZ331:BD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R332:AT332"/>
    <mergeCell ref="AI331:AJ331"/>
    <mergeCell ref="AK331:AN331"/>
    <mergeCell ref="AO331:AQ331"/>
    <mergeCell ref="AR331:AT331"/>
    <mergeCell ref="AU331:AW331"/>
    <mergeCell ref="AX331:AY331"/>
    <mergeCell ref="AO330:AQ330"/>
    <mergeCell ref="AR330:AT330"/>
    <mergeCell ref="AU330:AW330"/>
    <mergeCell ref="AX330:AY330"/>
    <mergeCell ref="AZ330:BD330"/>
    <mergeCell ref="C331:U331"/>
    <mergeCell ref="V331:X331"/>
    <mergeCell ref="Y331:AB331"/>
    <mergeCell ref="AC331:AE331"/>
    <mergeCell ref="AF331:AH331"/>
    <mergeCell ref="AU329:AW329"/>
    <mergeCell ref="AX329:AY329"/>
    <mergeCell ref="AZ329:BD329"/>
    <mergeCell ref="C330:U330"/>
    <mergeCell ref="V330:X330"/>
    <mergeCell ref="Y330:AB330"/>
    <mergeCell ref="AC330:AE330"/>
    <mergeCell ref="AF330:AH330"/>
    <mergeCell ref="AI330:AJ330"/>
    <mergeCell ref="AK330:AN330"/>
    <mergeCell ref="AZ328:BD328"/>
    <mergeCell ref="C329:U329"/>
    <mergeCell ref="V329:X329"/>
    <mergeCell ref="Y329:AB329"/>
    <mergeCell ref="AC329:AE329"/>
    <mergeCell ref="AF329:AH329"/>
    <mergeCell ref="AI329:AJ329"/>
    <mergeCell ref="AK329:AN329"/>
    <mergeCell ref="AO329:AQ329"/>
    <mergeCell ref="AR329:AT329"/>
    <mergeCell ref="AI328:AJ328"/>
    <mergeCell ref="AK328:AN328"/>
    <mergeCell ref="AO328:AQ328"/>
    <mergeCell ref="AR328:AT328"/>
    <mergeCell ref="AU328:AW328"/>
    <mergeCell ref="AX328:AY328"/>
    <mergeCell ref="AO327:AQ327"/>
    <mergeCell ref="AR327:AT327"/>
    <mergeCell ref="AU327:AW327"/>
    <mergeCell ref="AX327:AY327"/>
    <mergeCell ref="AZ327:BD327"/>
    <mergeCell ref="C328:U328"/>
    <mergeCell ref="V328:X328"/>
    <mergeCell ref="Y328:AB328"/>
    <mergeCell ref="AC328:AE328"/>
    <mergeCell ref="AF328:AH328"/>
    <mergeCell ref="AU326:AW326"/>
    <mergeCell ref="AX326:AY326"/>
    <mergeCell ref="AZ326:BD326"/>
    <mergeCell ref="C327:U327"/>
    <mergeCell ref="V327:X327"/>
    <mergeCell ref="Y327:AB327"/>
    <mergeCell ref="AC327:AE327"/>
    <mergeCell ref="AF327:AH327"/>
    <mergeCell ref="AI327:AJ327"/>
    <mergeCell ref="AK327:AN327"/>
    <mergeCell ref="AZ325:BD325"/>
    <mergeCell ref="C326:U326"/>
    <mergeCell ref="V326:X326"/>
    <mergeCell ref="Y326:AB326"/>
    <mergeCell ref="AC326:AE326"/>
    <mergeCell ref="AF326:AH326"/>
    <mergeCell ref="AI326:AJ326"/>
    <mergeCell ref="AK326:AN326"/>
    <mergeCell ref="AO326:AQ326"/>
    <mergeCell ref="AR326:AT326"/>
    <mergeCell ref="AI325:AJ325"/>
    <mergeCell ref="AK325:AN325"/>
    <mergeCell ref="AO325:AQ325"/>
    <mergeCell ref="AR325:AT325"/>
    <mergeCell ref="AU325:AW325"/>
    <mergeCell ref="AX325:AY325"/>
    <mergeCell ref="AO324:AQ324"/>
    <mergeCell ref="AR324:AT324"/>
    <mergeCell ref="AU324:AW324"/>
    <mergeCell ref="AX324:AY324"/>
    <mergeCell ref="AZ324:BD324"/>
    <mergeCell ref="C325:U325"/>
    <mergeCell ref="V325:X325"/>
    <mergeCell ref="Y325:AB325"/>
    <mergeCell ref="AC325:AE325"/>
    <mergeCell ref="AF325:AH325"/>
    <mergeCell ref="AU323:AW323"/>
    <mergeCell ref="AX323:AY323"/>
    <mergeCell ref="AZ323:BD323"/>
    <mergeCell ref="C324:U324"/>
    <mergeCell ref="V324:X324"/>
    <mergeCell ref="Y324:AB324"/>
    <mergeCell ref="AC324:AE324"/>
    <mergeCell ref="AF324:AH324"/>
    <mergeCell ref="AI324:AJ324"/>
    <mergeCell ref="AK324:AN324"/>
    <mergeCell ref="AZ322:BD322"/>
    <mergeCell ref="B323:U323"/>
    <mergeCell ref="V323:X323"/>
    <mergeCell ref="Y323:AB323"/>
    <mergeCell ref="AC323:AE323"/>
    <mergeCell ref="AF323:AH323"/>
    <mergeCell ref="AI323:AJ323"/>
    <mergeCell ref="AK323:AN323"/>
    <mergeCell ref="AO323:AQ323"/>
    <mergeCell ref="AR323:AT323"/>
    <mergeCell ref="AI322:AJ322"/>
    <mergeCell ref="AK322:AN322"/>
    <mergeCell ref="AO322:AQ322"/>
    <mergeCell ref="AR322:AT322"/>
    <mergeCell ref="AU322:AW322"/>
    <mergeCell ref="AX322:AY322"/>
    <mergeCell ref="AO321:AQ321"/>
    <mergeCell ref="AR321:AT321"/>
    <mergeCell ref="AU321:AW321"/>
    <mergeCell ref="AX321:AY321"/>
    <mergeCell ref="AZ321:BD321"/>
    <mergeCell ref="B322:U322"/>
    <mergeCell ref="V322:X322"/>
    <mergeCell ref="Y322:AB322"/>
    <mergeCell ref="AC322:AE322"/>
    <mergeCell ref="AF322:AH322"/>
    <mergeCell ref="AU320:AW320"/>
    <mergeCell ref="AX320:AY320"/>
    <mergeCell ref="AZ320:BD320"/>
    <mergeCell ref="C321:U321"/>
    <mergeCell ref="V321:X321"/>
    <mergeCell ref="Y321:AB321"/>
    <mergeCell ref="AC321:AE321"/>
    <mergeCell ref="AF321:AH321"/>
    <mergeCell ref="AI321:AJ321"/>
    <mergeCell ref="AK321:AN321"/>
    <mergeCell ref="AZ319:BD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R320:AT320"/>
    <mergeCell ref="AI319:AJ319"/>
    <mergeCell ref="AK319:AN319"/>
    <mergeCell ref="AO319:AQ319"/>
    <mergeCell ref="AR319:AT319"/>
    <mergeCell ref="AU319:AW319"/>
    <mergeCell ref="AX319:AY319"/>
    <mergeCell ref="AO318:AQ318"/>
    <mergeCell ref="AR318:AT318"/>
    <mergeCell ref="AU318:AW318"/>
    <mergeCell ref="AX318:AY318"/>
    <mergeCell ref="AZ318:BD318"/>
    <mergeCell ref="C319:U319"/>
    <mergeCell ref="V319:X319"/>
    <mergeCell ref="Y319:AB319"/>
    <mergeCell ref="AC319:AE319"/>
    <mergeCell ref="AF319:AH319"/>
    <mergeCell ref="AU317:AW317"/>
    <mergeCell ref="AX317:AY317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Z316:BD316"/>
    <mergeCell ref="C317:U317"/>
    <mergeCell ref="V317:X317"/>
    <mergeCell ref="Y317:AB317"/>
    <mergeCell ref="AC317:AE317"/>
    <mergeCell ref="AF317:AH317"/>
    <mergeCell ref="AI317:AJ317"/>
    <mergeCell ref="AK317:AN317"/>
    <mergeCell ref="AO317:AQ317"/>
    <mergeCell ref="AR317:AT317"/>
    <mergeCell ref="AI316:AJ316"/>
    <mergeCell ref="AK316:AN316"/>
    <mergeCell ref="AO316:AQ316"/>
    <mergeCell ref="AR316:AT316"/>
    <mergeCell ref="AU316:AW316"/>
    <mergeCell ref="AX316:AY316"/>
    <mergeCell ref="AO315:AQ315"/>
    <mergeCell ref="AR315:AT315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U314:AW314"/>
    <mergeCell ref="AX314:AY314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Z313:BD313"/>
    <mergeCell ref="C314:U314"/>
    <mergeCell ref="V314:X314"/>
    <mergeCell ref="Y314:AB314"/>
    <mergeCell ref="AC314:AE314"/>
    <mergeCell ref="AF314:AH314"/>
    <mergeCell ref="AI314:AJ314"/>
    <mergeCell ref="AK314:AN314"/>
    <mergeCell ref="AO314:AQ314"/>
    <mergeCell ref="AR314:AT314"/>
    <mergeCell ref="AI313:AJ313"/>
    <mergeCell ref="AK313:AN313"/>
    <mergeCell ref="AO313:AQ313"/>
    <mergeCell ref="AR313:AT313"/>
    <mergeCell ref="AU313:AW313"/>
    <mergeCell ref="AX313:AY313"/>
    <mergeCell ref="AO312:AQ312"/>
    <mergeCell ref="AR312:AT312"/>
    <mergeCell ref="AU312:AW312"/>
    <mergeCell ref="AX312:AY312"/>
    <mergeCell ref="AZ312:BD312"/>
    <mergeCell ref="C313:U313"/>
    <mergeCell ref="V313:X313"/>
    <mergeCell ref="Y313:AB313"/>
    <mergeCell ref="AC313:AE313"/>
    <mergeCell ref="AF313:AH313"/>
    <mergeCell ref="AU311:AW311"/>
    <mergeCell ref="AX311:AY311"/>
    <mergeCell ref="AZ311:BD311"/>
    <mergeCell ref="B312:U312"/>
    <mergeCell ref="V312:X312"/>
    <mergeCell ref="Y312:AB312"/>
    <mergeCell ref="AC312:AE312"/>
    <mergeCell ref="AF312:AH312"/>
    <mergeCell ref="AI312:AJ312"/>
    <mergeCell ref="AK312:AN312"/>
    <mergeCell ref="AZ310:BD310"/>
    <mergeCell ref="B311:U311"/>
    <mergeCell ref="V311:X311"/>
    <mergeCell ref="Y311:AB311"/>
    <mergeCell ref="AC311:AE311"/>
    <mergeCell ref="AF311:AH311"/>
    <mergeCell ref="AI311:AJ311"/>
    <mergeCell ref="AK311:AN311"/>
    <mergeCell ref="AO311:AQ311"/>
    <mergeCell ref="AR311:AT311"/>
    <mergeCell ref="AI310:AJ310"/>
    <mergeCell ref="AK310:AN310"/>
    <mergeCell ref="AO310:AQ310"/>
    <mergeCell ref="AR310:AT310"/>
    <mergeCell ref="AU310:AW310"/>
    <mergeCell ref="AX310:AY310"/>
    <mergeCell ref="AO309:AQ309"/>
    <mergeCell ref="AR309:AT309"/>
    <mergeCell ref="AU309:AW309"/>
    <mergeCell ref="AX309:AY309"/>
    <mergeCell ref="AZ309:BD309"/>
    <mergeCell ref="C310:U310"/>
    <mergeCell ref="V310:X310"/>
    <mergeCell ref="Y310:AB310"/>
    <mergeCell ref="AC310:AE310"/>
    <mergeCell ref="AF310:AH310"/>
    <mergeCell ref="AU308:AW308"/>
    <mergeCell ref="AX308:AY308"/>
    <mergeCell ref="AZ308:BD308"/>
    <mergeCell ref="C309:U309"/>
    <mergeCell ref="V309:X309"/>
    <mergeCell ref="Y309:AB309"/>
    <mergeCell ref="AC309:AE309"/>
    <mergeCell ref="AF309:AH309"/>
    <mergeCell ref="AI309:AJ309"/>
    <mergeCell ref="AK309:AN309"/>
    <mergeCell ref="AZ307:BD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R308:AT308"/>
    <mergeCell ref="AI307:AJ307"/>
    <mergeCell ref="AK307:AN307"/>
    <mergeCell ref="AO307:AQ307"/>
    <mergeCell ref="AR307:AT307"/>
    <mergeCell ref="AU307:AW307"/>
    <mergeCell ref="AX307:AY307"/>
    <mergeCell ref="AO306:AQ306"/>
    <mergeCell ref="AR306:AT306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U305:AW305"/>
    <mergeCell ref="AX305:AY305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Z304:BD304"/>
    <mergeCell ref="C305:U305"/>
    <mergeCell ref="V305:X305"/>
    <mergeCell ref="Y305:AB305"/>
    <mergeCell ref="AC305:AE305"/>
    <mergeCell ref="AF305:AH305"/>
    <mergeCell ref="AI305:AJ305"/>
    <mergeCell ref="AK305:AN305"/>
    <mergeCell ref="AO305:AQ305"/>
    <mergeCell ref="AR305:AT305"/>
    <mergeCell ref="AI304:AJ304"/>
    <mergeCell ref="AK304:AN304"/>
    <mergeCell ref="AO304:AQ304"/>
    <mergeCell ref="AR304:AT304"/>
    <mergeCell ref="AU304:AW304"/>
    <mergeCell ref="AX304:AY304"/>
    <mergeCell ref="AO303:AQ303"/>
    <mergeCell ref="AR303:AT303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U302:AW302"/>
    <mergeCell ref="AX302:AY302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Z301:BD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R302:AT302"/>
    <mergeCell ref="AI301:AJ301"/>
    <mergeCell ref="AK301:AN301"/>
    <mergeCell ref="AO301:AQ301"/>
    <mergeCell ref="AR301:AT301"/>
    <mergeCell ref="AU301:AW301"/>
    <mergeCell ref="AX301:AY301"/>
    <mergeCell ref="AO300:AQ300"/>
    <mergeCell ref="AR300:AT300"/>
    <mergeCell ref="AU300:AW300"/>
    <mergeCell ref="AX300:AY300"/>
    <mergeCell ref="AZ300:BD300"/>
    <mergeCell ref="B301:U301"/>
    <mergeCell ref="V301:X301"/>
    <mergeCell ref="Y301:AB301"/>
    <mergeCell ref="AC301:AE301"/>
    <mergeCell ref="AF301:AH301"/>
    <mergeCell ref="AU299:AW299"/>
    <mergeCell ref="AX299:AY299"/>
    <mergeCell ref="AZ299:BD299"/>
    <mergeCell ref="B300:U300"/>
    <mergeCell ref="V300:X300"/>
    <mergeCell ref="Y300:AB300"/>
    <mergeCell ref="AC300:AE300"/>
    <mergeCell ref="AF300:AH300"/>
    <mergeCell ref="AI300:AJ300"/>
    <mergeCell ref="AK300:AN300"/>
    <mergeCell ref="AZ298:BD298"/>
    <mergeCell ref="C299:U299"/>
    <mergeCell ref="V299:X299"/>
    <mergeCell ref="Y299:AB299"/>
    <mergeCell ref="AC299:AE299"/>
    <mergeCell ref="AF299:AH299"/>
    <mergeCell ref="AI299:AJ299"/>
    <mergeCell ref="AK299:AN299"/>
    <mergeCell ref="AO299:AQ299"/>
    <mergeCell ref="AR299:AT299"/>
    <mergeCell ref="AI298:AJ298"/>
    <mergeCell ref="AK298:AN298"/>
    <mergeCell ref="AO298:AQ298"/>
    <mergeCell ref="AR298:AT298"/>
    <mergeCell ref="AU298:AW298"/>
    <mergeCell ref="AX298:AY298"/>
    <mergeCell ref="AO297:AQ297"/>
    <mergeCell ref="AR297:AT297"/>
    <mergeCell ref="AU297:AW297"/>
    <mergeCell ref="AX297:AY297"/>
    <mergeCell ref="AZ297:BD297"/>
    <mergeCell ref="C298:U298"/>
    <mergeCell ref="V298:X298"/>
    <mergeCell ref="Y298:AB298"/>
    <mergeCell ref="AC298:AE298"/>
    <mergeCell ref="AF298:AH298"/>
    <mergeCell ref="AU296:AW296"/>
    <mergeCell ref="AX296:AY296"/>
    <mergeCell ref="AZ296:BD296"/>
    <mergeCell ref="C297:U297"/>
    <mergeCell ref="V297:X297"/>
    <mergeCell ref="Y297:AB297"/>
    <mergeCell ref="AC297:AE297"/>
    <mergeCell ref="AF297:AH297"/>
    <mergeCell ref="AI297:AJ297"/>
    <mergeCell ref="AK297:AN297"/>
    <mergeCell ref="AZ295:BD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R296:AT296"/>
    <mergeCell ref="AI295:AJ295"/>
    <mergeCell ref="AK295:AN295"/>
    <mergeCell ref="AO295:AQ295"/>
    <mergeCell ref="AR295:AT295"/>
    <mergeCell ref="AU295:AW295"/>
    <mergeCell ref="AX295:AY295"/>
    <mergeCell ref="AO294:AQ294"/>
    <mergeCell ref="AR294:AT294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U293:AW293"/>
    <mergeCell ref="AX293:AY293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Z292:BD292"/>
    <mergeCell ref="C293:U293"/>
    <mergeCell ref="V293:X293"/>
    <mergeCell ref="Y293:AB293"/>
    <mergeCell ref="AC293:AE293"/>
    <mergeCell ref="AF293:AH293"/>
    <mergeCell ref="AI293:AJ293"/>
    <mergeCell ref="AK293:AN293"/>
    <mergeCell ref="AO293:AQ293"/>
    <mergeCell ref="AR293:AT293"/>
    <mergeCell ref="AI292:AJ292"/>
    <mergeCell ref="AK292:AN292"/>
    <mergeCell ref="AO292:AQ292"/>
    <mergeCell ref="AR292:AT292"/>
    <mergeCell ref="AU292:AW292"/>
    <mergeCell ref="AX292:AY292"/>
    <mergeCell ref="AO291:AQ291"/>
    <mergeCell ref="AR291:AT291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U290:AW290"/>
    <mergeCell ref="AX290:AY290"/>
    <mergeCell ref="AZ290:BD290"/>
    <mergeCell ref="C291:U291"/>
    <mergeCell ref="V291:X291"/>
    <mergeCell ref="Y291:AB291"/>
    <mergeCell ref="AC291:AE291"/>
    <mergeCell ref="AF291:AH291"/>
    <mergeCell ref="AI291:AJ291"/>
    <mergeCell ref="AK291:AN291"/>
    <mergeCell ref="AZ289:BD289"/>
    <mergeCell ref="B290:U290"/>
    <mergeCell ref="V290:X290"/>
    <mergeCell ref="Y290:AB290"/>
    <mergeCell ref="AC290:AE290"/>
    <mergeCell ref="AF290:AH290"/>
    <mergeCell ref="AI290:AJ290"/>
    <mergeCell ref="AK290:AN290"/>
    <mergeCell ref="AO290:AQ290"/>
    <mergeCell ref="AR290:AT290"/>
    <mergeCell ref="AI289:AJ289"/>
    <mergeCell ref="AK289:AN289"/>
    <mergeCell ref="AO289:AQ289"/>
    <mergeCell ref="AR289:AT289"/>
    <mergeCell ref="AU289:AW289"/>
    <mergeCell ref="AX289:AY289"/>
    <mergeCell ref="AO288:AQ288"/>
    <mergeCell ref="AR288:AT288"/>
    <mergeCell ref="AU288:AW288"/>
    <mergeCell ref="AX288:AY288"/>
    <mergeCell ref="AZ288:BD288"/>
    <mergeCell ref="B289:U289"/>
    <mergeCell ref="V289:X289"/>
    <mergeCell ref="Y289:AB289"/>
    <mergeCell ref="AC289:AE289"/>
    <mergeCell ref="AF289:AH289"/>
    <mergeCell ref="AU287:AW287"/>
    <mergeCell ref="AX287:AY287"/>
    <mergeCell ref="AZ287:BD287"/>
    <mergeCell ref="C288:U288"/>
    <mergeCell ref="V288:X288"/>
    <mergeCell ref="Y288:AB288"/>
    <mergeCell ref="AC288:AE288"/>
    <mergeCell ref="AF288:AH288"/>
    <mergeCell ref="AI288:AJ288"/>
    <mergeCell ref="AK288:AN288"/>
    <mergeCell ref="AZ286:BD286"/>
    <mergeCell ref="C287:U287"/>
    <mergeCell ref="V287:X287"/>
    <mergeCell ref="Y287:AB287"/>
    <mergeCell ref="AC287:AE287"/>
    <mergeCell ref="AF287:AH287"/>
    <mergeCell ref="AI287:AJ287"/>
    <mergeCell ref="AK287:AN287"/>
    <mergeCell ref="AO287:AQ287"/>
    <mergeCell ref="AR287:AT287"/>
    <mergeCell ref="AI286:AJ286"/>
    <mergeCell ref="AK286:AN286"/>
    <mergeCell ref="AO286:AQ286"/>
    <mergeCell ref="AR286:AT286"/>
    <mergeCell ref="AU286:AW286"/>
    <mergeCell ref="AX286:AY286"/>
    <mergeCell ref="AO285:AQ285"/>
    <mergeCell ref="AR285:AT285"/>
    <mergeCell ref="AU285:AW285"/>
    <mergeCell ref="AX285:AY285"/>
    <mergeCell ref="AZ285:BD285"/>
    <mergeCell ref="C286:U286"/>
    <mergeCell ref="V286:X286"/>
    <mergeCell ref="Y286:AB286"/>
    <mergeCell ref="AC286:AE286"/>
    <mergeCell ref="AF286:AH286"/>
    <mergeCell ref="AU284:AW284"/>
    <mergeCell ref="AX284:AY284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Z283:BD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R284:AT284"/>
    <mergeCell ref="AI283:AJ283"/>
    <mergeCell ref="AK283:AN283"/>
    <mergeCell ref="AO283:AQ283"/>
    <mergeCell ref="AR283:AT283"/>
    <mergeCell ref="AU283:AW283"/>
    <mergeCell ref="AX283:AY283"/>
    <mergeCell ref="AO282:AQ282"/>
    <mergeCell ref="AR282:AT282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U281:AW281"/>
    <mergeCell ref="AX281:AY281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Z280:BD280"/>
    <mergeCell ref="C281:U281"/>
    <mergeCell ref="V281:X281"/>
    <mergeCell ref="Y281:AB281"/>
    <mergeCell ref="AC281:AE281"/>
    <mergeCell ref="AF281:AH281"/>
    <mergeCell ref="AI281:AJ281"/>
    <mergeCell ref="AK281:AN281"/>
    <mergeCell ref="AO281:AQ281"/>
    <mergeCell ref="AR281:AT281"/>
    <mergeCell ref="AI280:AJ280"/>
    <mergeCell ref="AK280:AN280"/>
    <mergeCell ref="AO280:AQ280"/>
    <mergeCell ref="AR280:AT280"/>
    <mergeCell ref="AU280:AW280"/>
    <mergeCell ref="AX280:AY280"/>
    <mergeCell ref="AO279:AQ279"/>
    <mergeCell ref="AR279:AT279"/>
    <mergeCell ref="AU279:AW279"/>
    <mergeCell ref="AX279:AY279"/>
    <mergeCell ref="AZ279:BD279"/>
    <mergeCell ref="C280:U280"/>
    <mergeCell ref="V280:X280"/>
    <mergeCell ref="Y280:AB280"/>
    <mergeCell ref="AC280:AE280"/>
    <mergeCell ref="AF280:AH280"/>
    <mergeCell ref="AU278:AW278"/>
    <mergeCell ref="AX278:AY278"/>
    <mergeCell ref="AZ278:BD278"/>
    <mergeCell ref="B279:U279"/>
    <mergeCell ref="V279:X279"/>
    <mergeCell ref="Y279:AB279"/>
    <mergeCell ref="AC279:AE279"/>
    <mergeCell ref="AF279:AH279"/>
    <mergeCell ref="AI279:AJ279"/>
    <mergeCell ref="AK279:AN279"/>
    <mergeCell ref="AZ277:BD277"/>
    <mergeCell ref="B278:U278"/>
    <mergeCell ref="V278:X278"/>
    <mergeCell ref="Y278:AB278"/>
    <mergeCell ref="AC278:AE278"/>
    <mergeCell ref="AF278:AH278"/>
    <mergeCell ref="AI278:AJ278"/>
    <mergeCell ref="AK278:AN278"/>
    <mergeCell ref="AO278:AQ278"/>
    <mergeCell ref="AR278:AT278"/>
    <mergeCell ref="AI277:AJ277"/>
    <mergeCell ref="AK277:AN277"/>
    <mergeCell ref="AO277:AQ277"/>
    <mergeCell ref="AR277:AT277"/>
    <mergeCell ref="AU277:AW277"/>
    <mergeCell ref="AX277:AY277"/>
    <mergeCell ref="AO276:AQ276"/>
    <mergeCell ref="AR276:AT276"/>
    <mergeCell ref="AU276:AW276"/>
    <mergeCell ref="AX276:AY276"/>
    <mergeCell ref="AZ276:BD276"/>
    <mergeCell ref="C277:U277"/>
    <mergeCell ref="V277:X277"/>
    <mergeCell ref="Y277:AB277"/>
    <mergeCell ref="AC277:AE277"/>
    <mergeCell ref="AF277:AH277"/>
    <mergeCell ref="AU275:AW275"/>
    <mergeCell ref="AX275:AY275"/>
    <mergeCell ref="AZ275:BD275"/>
    <mergeCell ref="C276:U276"/>
    <mergeCell ref="V276:X276"/>
    <mergeCell ref="Y276:AB276"/>
    <mergeCell ref="AC276:AE276"/>
    <mergeCell ref="AF276:AH276"/>
    <mergeCell ref="AI276:AJ276"/>
    <mergeCell ref="AK276:AN276"/>
    <mergeCell ref="AZ274:BD274"/>
    <mergeCell ref="C275:U275"/>
    <mergeCell ref="V275:X275"/>
    <mergeCell ref="Y275:AB275"/>
    <mergeCell ref="AC275:AE275"/>
    <mergeCell ref="AF275:AH275"/>
    <mergeCell ref="AI275:AJ275"/>
    <mergeCell ref="AK275:AN275"/>
    <mergeCell ref="AO275:AQ275"/>
    <mergeCell ref="AR275:AT275"/>
    <mergeCell ref="AI274:AJ274"/>
    <mergeCell ref="AK274:AN274"/>
    <mergeCell ref="AO274:AQ274"/>
    <mergeCell ref="AR274:AT274"/>
    <mergeCell ref="AU274:AW274"/>
    <mergeCell ref="AX274:AY274"/>
    <mergeCell ref="AO273:AQ273"/>
    <mergeCell ref="AR273:AT273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U272:AW272"/>
    <mergeCell ref="AX272:AY272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Z271:BD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R272:AT272"/>
    <mergeCell ref="AI271:AJ271"/>
    <mergeCell ref="AK271:AN271"/>
    <mergeCell ref="AO271:AQ271"/>
    <mergeCell ref="AR271:AT271"/>
    <mergeCell ref="AU271:AW271"/>
    <mergeCell ref="AX271:AY271"/>
    <mergeCell ref="AO270:AQ270"/>
    <mergeCell ref="AR270:AT270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U269:AW269"/>
    <mergeCell ref="AX269:AY269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Z268:BD268"/>
    <mergeCell ref="C269:U269"/>
    <mergeCell ref="V269:X269"/>
    <mergeCell ref="Y269:AB269"/>
    <mergeCell ref="AC269:AE269"/>
    <mergeCell ref="AF269:AH269"/>
    <mergeCell ref="AI269:AJ269"/>
    <mergeCell ref="AK269:AN269"/>
    <mergeCell ref="AO269:AQ269"/>
    <mergeCell ref="AR269:AT269"/>
    <mergeCell ref="AI268:AJ268"/>
    <mergeCell ref="AK268:AN268"/>
    <mergeCell ref="AO268:AQ268"/>
    <mergeCell ref="AR268:AT268"/>
    <mergeCell ref="AU268:AW268"/>
    <mergeCell ref="AX268:AY268"/>
    <mergeCell ref="AO267:AQ267"/>
    <mergeCell ref="AR267:AT267"/>
    <mergeCell ref="AU267:AW267"/>
    <mergeCell ref="AX267:AY267"/>
    <mergeCell ref="AZ267:BD267"/>
    <mergeCell ref="B268:U268"/>
    <mergeCell ref="V268:X268"/>
    <mergeCell ref="Y268:AB268"/>
    <mergeCell ref="AC268:AE268"/>
    <mergeCell ref="AF268:AH268"/>
    <mergeCell ref="AU266:AW266"/>
    <mergeCell ref="AX266:AY266"/>
    <mergeCell ref="AZ266:BD266"/>
    <mergeCell ref="B267:U267"/>
    <mergeCell ref="V267:X267"/>
    <mergeCell ref="Y267:AB267"/>
    <mergeCell ref="AC267:AE267"/>
    <mergeCell ref="AF267:AH267"/>
    <mergeCell ref="AI267:AJ267"/>
    <mergeCell ref="AK267:AN267"/>
    <mergeCell ref="AZ265:BD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R266:AT266"/>
    <mergeCell ref="AI265:AJ265"/>
    <mergeCell ref="AK265:AN265"/>
    <mergeCell ref="AO265:AQ265"/>
    <mergeCell ref="AR265:AT265"/>
    <mergeCell ref="AU265:AW265"/>
    <mergeCell ref="AX265:AY265"/>
    <mergeCell ref="AO264:AQ264"/>
    <mergeCell ref="AR264:AT264"/>
    <mergeCell ref="AU264:AW264"/>
    <mergeCell ref="AX264:AY264"/>
    <mergeCell ref="AZ264:BD264"/>
    <mergeCell ref="C265:U265"/>
    <mergeCell ref="V265:X265"/>
    <mergeCell ref="Y265:AB265"/>
    <mergeCell ref="AC265:AE265"/>
    <mergeCell ref="AF265:AH265"/>
    <mergeCell ref="AU263:AW263"/>
    <mergeCell ref="AX263:AY263"/>
    <mergeCell ref="AZ263:BD263"/>
    <mergeCell ref="C264:U264"/>
    <mergeCell ref="V264:X264"/>
    <mergeCell ref="Y264:AB264"/>
    <mergeCell ref="AC264:AE264"/>
    <mergeCell ref="AF264:AH264"/>
    <mergeCell ref="AI264:AJ264"/>
    <mergeCell ref="AK264:AN264"/>
    <mergeCell ref="AZ262:BD262"/>
    <mergeCell ref="C263:U263"/>
    <mergeCell ref="V263:X263"/>
    <mergeCell ref="Y263:AB263"/>
    <mergeCell ref="AC263:AE263"/>
    <mergeCell ref="AF263:AH263"/>
    <mergeCell ref="AI263:AJ263"/>
    <mergeCell ref="AK263:AN263"/>
    <mergeCell ref="AO263:AQ263"/>
    <mergeCell ref="AR263:AT263"/>
    <mergeCell ref="AI262:AJ262"/>
    <mergeCell ref="AK262:AN262"/>
    <mergeCell ref="AO262:AQ262"/>
    <mergeCell ref="AR262:AT262"/>
    <mergeCell ref="AU262:AW262"/>
    <mergeCell ref="AX262:AY262"/>
    <mergeCell ref="AO261:AQ261"/>
    <mergeCell ref="AR261:AT261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U260:AW260"/>
    <mergeCell ref="AX260:AY260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Z259:BD259"/>
    <mergeCell ref="C260:U260"/>
    <mergeCell ref="V260:X260"/>
    <mergeCell ref="Y260:AB260"/>
    <mergeCell ref="AC260:AE260"/>
    <mergeCell ref="AF260:AH260"/>
    <mergeCell ref="AI260:AJ260"/>
    <mergeCell ref="AK260:AN260"/>
    <mergeCell ref="AO260:AQ260"/>
    <mergeCell ref="AR260:AT260"/>
    <mergeCell ref="AI259:AJ259"/>
    <mergeCell ref="AK259:AN259"/>
    <mergeCell ref="AO259:AQ259"/>
    <mergeCell ref="AR259:AT259"/>
    <mergeCell ref="AU259:AW259"/>
    <mergeCell ref="AX259:AY259"/>
    <mergeCell ref="AO258:AQ258"/>
    <mergeCell ref="AR258:AT258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U257:AW257"/>
    <mergeCell ref="AX257:AY257"/>
    <mergeCell ref="AZ257:BD257"/>
    <mergeCell ref="C258:U258"/>
    <mergeCell ref="V258:X258"/>
    <mergeCell ref="Y258:AB258"/>
    <mergeCell ref="AC258:AE258"/>
    <mergeCell ref="AF258:AH258"/>
    <mergeCell ref="AI258:AJ258"/>
    <mergeCell ref="AK258:AN258"/>
    <mergeCell ref="AZ256:BD256"/>
    <mergeCell ref="B257:U257"/>
    <mergeCell ref="V257:X257"/>
    <mergeCell ref="Y257:AB257"/>
    <mergeCell ref="AC257:AE257"/>
    <mergeCell ref="AF257:AH257"/>
    <mergeCell ref="AI257:AJ257"/>
    <mergeCell ref="AK257:AN257"/>
    <mergeCell ref="AO257:AQ257"/>
    <mergeCell ref="AR257:AT257"/>
    <mergeCell ref="AI256:AJ256"/>
    <mergeCell ref="AK256:AN256"/>
    <mergeCell ref="AO256:AQ256"/>
    <mergeCell ref="AR256:AT256"/>
    <mergeCell ref="AU256:AW256"/>
    <mergeCell ref="AX256:AY256"/>
    <mergeCell ref="AO255:AQ255"/>
    <mergeCell ref="AR255:AT255"/>
    <mergeCell ref="AU255:AW255"/>
    <mergeCell ref="AX255:AY255"/>
    <mergeCell ref="AZ255:BD255"/>
    <mergeCell ref="B256:U256"/>
    <mergeCell ref="V256:X256"/>
    <mergeCell ref="Y256:AB256"/>
    <mergeCell ref="AC256:AE256"/>
    <mergeCell ref="AF256:AH256"/>
    <mergeCell ref="AU254:AW254"/>
    <mergeCell ref="AX254:AY254"/>
    <mergeCell ref="AZ254:BD254"/>
    <mergeCell ref="C255:U255"/>
    <mergeCell ref="V255:X255"/>
    <mergeCell ref="Y255:AB255"/>
    <mergeCell ref="AC255:AE255"/>
    <mergeCell ref="AF255:AH255"/>
    <mergeCell ref="AI255:AJ255"/>
    <mergeCell ref="AK255:AN255"/>
    <mergeCell ref="AZ253:BD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R254:AT254"/>
    <mergeCell ref="AI253:AJ253"/>
    <mergeCell ref="AK253:AN253"/>
    <mergeCell ref="AO253:AQ253"/>
    <mergeCell ref="AR253:AT253"/>
    <mergeCell ref="AU253:AW253"/>
    <mergeCell ref="AX253:AY253"/>
    <mergeCell ref="AO252:AQ252"/>
    <mergeCell ref="AR252:AT252"/>
    <mergeCell ref="AU252:AW252"/>
    <mergeCell ref="AX252:AY252"/>
    <mergeCell ref="AZ252:BD252"/>
    <mergeCell ref="C253:U253"/>
    <mergeCell ref="V253:X253"/>
    <mergeCell ref="Y253:AB253"/>
    <mergeCell ref="AC253:AE253"/>
    <mergeCell ref="AF253:AH253"/>
    <mergeCell ref="AU251:AW251"/>
    <mergeCell ref="AX251:AY251"/>
    <mergeCell ref="AZ251:BD251"/>
    <mergeCell ref="C252:U252"/>
    <mergeCell ref="V252:X252"/>
    <mergeCell ref="Y252:AB252"/>
    <mergeCell ref="AC252:AE252"/>
    <mergeCell ref="AF252:AH252"/>
    <mergeCell ref="AI252:AJ252"/>
    <mergeCell ref="AK252:AN252"/>
    <mergeCell ref="AZ250:BD250"/>
    <mergeCell ref="C251:U251"/>
    <mergeCell ref="V251:X251"/>
    <mergeCell ref="Y251:AB251"/>
    <mergeCell ref="AC251:AE251"/>
    <mergeCell ref="AF251:AH251"/>
    <mergeCell ref="AI251:AJ251"/>
    <mergeCell ref="AK251:AN251"/>
    <mergeCell ref="AO251:AQ251"/>
    <mergeCell ref="AR251:AT251"/>
    <mergeCell ref="AI250:AJ250"/>
    <mergeCell ref="AK250:AN250"/>
    <mergeCell ref="AO250:AQ250"/>
    <mergeCell ref="AR250:AT250"/>
    <mergeCell ref="AU250:AW250"/>
    <mergeCell ref="AX250:AY250"/>
    <mergeCell ref="AO249:AQ249"/>
    <mergeCell ref="AR249:AT249"/>
    <mergeCell ref="AU249:AW249"/>
    <mergeCell ref="AX249:AY249"/>
    <mergeCell ref="AZ249:BD249"/>
    <mergeCell ref="C250:U250"/>
    <mergeCell ref="V250:X250"/>
    <mergeCell ref="Y250:AB250"/>
    <mergeCell ref="AC250:AE250"/>
    <mergeCell ref="AF250:AH250"/>
    <mergeCell ref="AU248:AW248"/>
    <mergeCell ref="AX248:AY248"/>
    <mergeCell ref="AZ248:BD248"/>
    <mergeCell ref="C249:U249"/>
    <mergeCell ref="V249:X249"/>
    <mergeCell ref="Y249:AB249"/>
    <mergeCell ref="AC249:AE249"/>
    <mergeCell ref="AF249:AH249"/>
    <mergeCell ref="AI249:AJ249"/>
    <mergeCell ref="AK249:AN249"/>
    <mergeCell ref="AZ247:BD247"/>
    <mergeCell ref="C248:U248"/>
    <mergeCell ref="V248:X248"/>
    <mergeCell ref="Y248:AB248"/>
    <mergeCell ref="AC248:AE248"/>
    <mergeCell ref="AF248:AH248"/>
    <mergeCell ref="AI248:AJ248"/>
    <mergeCell ref="AK248:AN248"/>
    <mergeCell ref="AO248:AQ248"/>
    <mergeCell ref="AR248:AT248"/>
    <mergeCell ref="AI247:AJ247"/>
    <mergeCell ref="AK247:AN247"/>
    <mergeCell ref="AO247:AQ247"/>
    <mergeCell ref="AR247:AT247"/>
    <mergeCell ref="AU247:AW247"/>
    <mergeCell ref="AX247:AY247"/>
    <mergeCell ref="AO246:AQ246"/>
    <mergeCell ref="AR246:AT246"/>
    <mergeCell ref="AU246:AW246"/>
    <mergeCell ref="AX246:AY246"/>
    <mergeCell ref="AZ246:BD246"/>
    <mergeCell ref="C247:U247"/>
    <mergeCell ref="V247:X247"/>
    <mergeCell ref="Y247:AB247"/>
    <mergeCell ref="AC247:AE247"/>
    <mergeCell ref="AF247:AH247"/>
    <mergeCell ref="AU245:AW245"/>
    <mergeCell ref="AX245:AY245"/>
    <mergeCell ref="AZ245:BD245"/>
    <mergeCell ref="B246:U246"/>
    <mergeCell ref="V246:X246"/>
    <mergeCell ref="Y246:AB246"/>
    <mergeCell ref="AC246:AE246"/>
    <mergeCell ref="AF246:AH246"/>
    <mergeCell ref="AI246:AJ246"/>
    <mergeCell ref="AK246:AN246"/>
    <mergeCell ref="AZ244:BD244"/>
    <mergeCell ref="B245:U245"/>
    <mergeCell ref="V245:X245"/>
    <mergeCell ref="Y245:AB245"/>
    <mergeCell ref="AC245:AE245"/>
    <mergeCell ref="AF245:AH245"/>
    <mergeCell ref="AI245:AJ245"/>
    <mergeCell ref="AK245:AN245"/>
    <mergeCell ref="AO245:AQ245"/>
    <mergeCell ref="AR245:AT245"/>
    <mergeCell ref="AI244:AJ244"/>
    <mergeCell ref="AK244:AN244"/>
    <mergeCell ref="AO244:AQ244"/>
    <mergeCell ref="AR244:AT244"/>
    <mergeCell ref="AU244:AW244"/>
    <mergeCell ref="AX244:AY244"/>
    <mergeCell ref="AO243:AQ243"/>
    <mergeCell ref="AR243:AT243"/>
    <mergeCell ref="AU243:AW243"/>
    <mergeCell ref="AX243:AY243"/>
    <mergeCell ref="AZ243:BD243"/>
    <mergeCell ref="C244:U244"/>
    <mergeCell ref="V244:X244"/>
    <mergeCell ref="Y244:AB244"/>
    <mergeCell ref="AC244:AE244"/>
    <mergeCell ref="AF244:AH244"/>
    <mergeCell ref="AU242:AW242"/>
    <mergeCell ref="AX242:AY242"/>
    <mergeCell ref="AZ242:BD242"/>
    <mergeCell ref="C243:U243"/>
    <mergeCell ref="V243:X243"/>
    <mergeCell ref="Y243:AB243"/>
    <mergeCell ref="AC243:AE243"/>
    <mergeCell ref="AF243:AH243"/>
    <mergeCell ref="AI243:AJ243"/>
    <mergeCell ref="AK243:AN243"/>
    <mergeCell ref="AZ241:BD241"/>
    <mergeCell ref="C242:U242"/>
    <mergeCell ref="V242:X242"/>
    <mergeCell ref="Y242:AB242"/>
    <mergeCell ref="AC242:AE242"/>
    <mergeCell ref="AF242:AH242"/>
    <mergeCell ref="AI242:AJ242"/>
    <mergeCell ref="AK242:AN242"/>
    <mergeCell ref="AO242:AQ242"/>
    <mergeCell ref="AR242:AT242"/>
    <mergeCell ref="AI241:AJ241"/>
    <mergeCell ref="AK241:AN241"/>
    <mergeCell ref="AO241:AQ241"/>
    <mergeCell ref="AR241:AT241"/>
    <mergeCell ref="AU241:AW241"/>
    <mergeCell ref="AX241:AY241"/>
    <mergeCell ref="AO240:AQ240"/>
    <mergeCell ref="AR240:AT240"/>
    <mergeCell ref="AU240:AW240"/>
    <mergeCell ref="AX240:AY240"/>
    <mergeCell ref="AZ240:BD240"/>
    <mergeCell ref="C241:U241"/>
    <mergeCell ref="V241:X241"/>
    <mergeCell ref="Y241:AB241"/>
    <mergeCell ref="AC241:AE241"/>
    <mergeCell ref="AF241:AH241"/>
    <mergeCell ref="AU239:AW239"/>
    <mergeCell ref="AX239:AY239"/>
    <mergeCell ref="AZ239:BD239"/>
    <mergeCell ref="C240:U240"/>
    <mergeCell ref="V240:X240"/>
    <mergeCell ref="Y240:AB240"/>
    <mergeCell ref="AC240:AE240"/>
    <mergeCell ref="AF240:AH240"/>
    <mergeCell ref="AI240:AJ240"/>
    <mergeCell ref="AK240:AN240"/>
    <mergeCell ref="AZ238:BD238"/>
    <mergeCell ref="C239:U239"/>
    <mergeCell ref="V239:X239"/>
    <mergeCell ref="Y239:AB239"/>
    <mergeCell ref="AC239:AE239"/>
    <mergeCell ref="AF239:AH239"/>
    <mergeCell ref="AI239:AJ239"/>
    <mergeCell ref="AK239:AN239"/>
    <mergeCell ref="AO239:AQ239"/>
    <mergeCell ref="AR239:AT239"/>
    <mergeCell ref="AI238:AJ238"/>
    <mergeCell ref="AK238:AN238"/>
    <mergeCell ref="AO238:AQ238"/>
    <mergeCell ref="AR238:AT238"/>
    <mergeCell ref="AU238:AW238"/>
    <mergeCell ref="AX238:AY238"/>
    <mergeCell ref="AO237:AQ237"/>
    <mergeCell ref="AR237:AT237"/>
    <mergeCell ref="AU237:AW237"/>
    <mergeCell ref="AX237:AY237"/>
    <mergeCell ref="AZ237:BD237"/>
    <mergeCell ref="C238:U238"/>
    <mergeCell ref="V238:X238"/>
    <mergeCell ref="Y238:AB238"/>
    <mergeCell ref="AC238:AE238"/>
    <mergeCell ref="AF238:AH238"/>
    <mergeCell ref="AU236:AW236"/>
    <mergeCell ref="AX236:AY236"/>
    <mergeCell ref="AZ236:BD236"/>
    <mergeCell ref="C237:U237"/>
    <mergeCell ref="V237:X237"/>
    <mergeCell ref="Y237:AB237"/>
    <mergeCell ref="AC237:AE237"/>
    <mergeCell ref="AF237:AH237"/>
    <mergeCell ref="AI237:AJ237"/>
    <mergeCell ref="AK237:AN237"/>
    <mergeCell ref="AZ235:BD235"/>
    <mergeCell ref="C236:U236"/>
    <mergeCell ref="V236:X236"/>
    <mergeCell ref="Y236:AB236"/>
    <mergeCell ref="AC236:AE236"/>
    <mergeCell ref="AF236:AH236"/>
    <mergeCell ref="AI236:AJ236"/>
    <mergeCell ref="AK236:AN236"/>
    <mergeCell ref="AO236:AQ236"/>
    <mergeCell ref="AR236:AT236"/>
    <mergeCell ref="AI235:AJ235"/>
    <mergeCell ref="AK235:AN235"/>
    <mergeCell ref="AO235:AQ235"/>
    <mergeCell ref="AR235:AT235"/>
    <mergeCell ref="AU235:AW235"/>
    <mergeCell ref="AX235:AY235"/>
    <mergeCell ref="AO234:AQ234"/>
    <mergeCell ref="AR234:AT234"/>
    <mergeCell ref="AU234:AW234"/>
    <mergeCell ref="AX234:AY234"/>
    <mergeCell ref="AZ234:BD234"/>
    <mergeCell ref="B235:U235"/>
    <mergeCell ref="V235:X235"/>
    <mergeCell ref="Y235:AB235"/>
    <mergeCell ref="AC235:AE235"/>
    <mergeCell ref="AF235:AH235"/>
    <mergeCell ref="AU233:AW233"/>
    <mergeCell ref="AX233:AY233"/>
    <mergeCell ref="AZ233:BD233"/>
    <mergeCell ref="B234:U234"/>
    <mergeCell ref="V234:X234"/>
    <mergeCell ref="Y234:AB234"/>
    <mergeCell ref="AC234:AE234"/>
    <mergeCell ref="AF234:AH234"/>
    <mergeCell ref="AI234:AJ234"/>
    <mergeCell ref="AK234:AN234"/>
    <mergeCell ref="AZ232:BD232"/>
    <mergeCell ref="B233:U233"/>
    <mergeCell ref="V233:X233"/>
    <mergeCell ref="Y233:AB233"/>
    <mergeCell ref="AC233:AE233"/>
    <mergeCell ref="AF233:AH233"/>
    <mergeCell ref="AI233:AJ233"/>
    <mergeCell ref="AK233:AN233"/>
    <mergeCell ref="AO233:AQ233"/>
    <mergeCell ref="AR233:AT233"/>
    <mergeCell ref="AI232:AJ232"/>
    <mergeCell ref="AK232:AN232"/>
    <mergeCell ref="AO232:AQ232"/>
    <mergeCell ref="AR232:AT232"/>
    <mergeCell ref="AU232:AW232"/>
    <mergeCell ref="AX232:AY232"/>
    <mergeCell ref="AO231:AQ231"/>
    <mergeCell ref="AR231:AT231"/>
    <mergeCell ref="AU231:AW231"/>
    <mergeCell ref="AX231:AY231"/>
    <mergeCell ref="AZ230:BD231"/>
    <mergeCell ref="B232:U232"/>
    <mergeCell ref="V232:X232"/>
    <mergeCell ref="Y232:AB232"/>
    <mergeCell ref="AC232:AE232"/>
    <mergeCell ref="AF232:AH232"/>
    <mergeCell ref="A229:BQ229"/>
    <mergeCell ref="A230:A332"/>
    <mergeCell ref="B230:U231"/>
    <mergeCell ref="V230:X231"/>
    <mergeCell ref="Y230:AY230"/>
    <mergeCell ref="Y231:AB231"/>
    <mergeCell ref="AC231:AE231"/>
    <mergeCell ref="AF231:AH231"/>
    <mergeCell ref="AI231:AJ231"/>
    <mergeCell ref="AK231:AN231"/>
    <mergeCell ref="AW227:AX227"/>
    <mergeCell ref="AY227:AZ227"/>
    <mergeCell ref="BA227:BC227"/>
    <mergeCell ref="BD227:BE227"/>
    <mergeCell ref="BN227:BP227"/>
    <mergeCell ref="A228:L228"/>
    <mergeCell ref="M228:BQ228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T226:AV226"/>
    <mergeCell ref="AW226:AX226"/>
    <mergeCell ref="AY226:AZ226"/>
    <mergeCell ref="BA226:BC226"/>
    <mergeCell ref="BD226:BE226"/>
    <mergeCell ref="BN226:BP226"/>
    <mergeCell ref="AB226:AD226"/>
    <mergeCell ref="AG226:AI226"/>
    <mergeCell ref="AJ226:AK226"/>
    <mergeCell ref="AL226:AM226"/>
    <mergeCell ref="AN226:AO226"/>
    <mergeCell ref="AP226:AR226"/>
    <mergeCell ref="AW225:AX225"/>
    <mergeCell ref="AY225:AZ225"/>
    <mergeCell ref="BA225:BC225"/>
    <mergeCell ref="BD225:BE225"/>
    <mergeCell ref="BN225:BP225"/>
    <mergeCell ref="A226:L226"/>
    <mergeCell ref="M226:O226"/>
    <mergeCell ref="P226:T226"/>
    <mergeCell ref="U226:W226"/>
    <mergeCell ref="X226:AA226"/>
    <mergeCell ref="AG225:AI225"/>
    <mergeCell ref="AJ225:AK225"/>
    <mergeCell ref="AL225:AM225"/>
    <mergeCell ref="AN225:AO225"/>
    <mergeCell ref="AP225:AR225"/>
    <mergeCell ref="AT225:AV225"/>
    <mergeCell ref="A225:L225"/>
    <mergeCell ref="M225:O225"/>
    <mergeCell ref="P225:T225"/>
    <mergeCell ref="U225:W225"/>
    <mergeCell ref="X225:AA225"/>
    <mergeCell ref="AB225:AD225"/>
    <mergeCell ref="AT224:AV224"/>
    <mergeCell ref="AW224:AX224"/>
    <mergeCell ref="AY224:AZ224"/>
    <mergeCell ref="BA224:BC224"/>
    <mergeCell ref="BD224:BE224"/>
    <mergeCell ref="BN224:BP224"/>
    <mergeCell ref="AB224:AD224"/>
    <mergeCell ref="AG224:AI224"/>
    <mergeCell ref="AJ224:AK224"/>
    <mergeCell ref="AL224:AM224"/>
    <mergeCell ref="AN224:AO224"/>
    <mergeCell ref="AP224:AR224"/>
    <mergeCell ref="AW223:AX223"/>
    <mergeCell ref="AY223:AZ223"/>
    <mergeCell ref="BA223:BC223"/>
    <mergeCell ref="BD223:BE223"/>
    <mergeCell ref="BN223:BP223"/>
    <mergeCell ref="A224:L224"/>
    <mergeCell ref="M224:O224"/>
    <mergeCell ref="P224:T224"/>
    <mergeCell ref="U224:W224"/>
    <mergeCell ref="X224:AA224"/>
    <mergeCell ref="AG223:AI223"/>
    <mergeCell ref="AJ223:AK223"/>
    <mergeCell ref="AL223:AM223"/>
    <mergeCell ref="AN223:AO223"/>
    <mergeCell ref="AP223:AR223"/>
    <mergeCell ref="AT223:AV223"/>
    <mergeCell ref="A223:L223"/>
    <mergeCell ref="M223:O223"/>
    <mergeCell ref="P223:T223"/>
    <mergeCell ref="U223:W223"/>
    <mergeCell ref="X223:AA223"/>
    <mergeCell ref="AB223:AD223"/>
    <mergeCell ref="AT222:AV222"/>
    <mergeCell ref="AW222:AX222"/>
    <mergeCell ref="AY222:AZ222"/>
    <mergeCell ref="BA222:BC222"/>
    <mergeCell ref="BD222:BE222"/>
    <mergeCell ref="BN222:BP222"/>
    <mergeCell ref="AB222:AD222"/>
    <mergeCell ref="AG222:AI222"/>
    <mergeCell ref="AJ222:AK222"/>
    <mergeCell ref="AL222:AM222"/>
    <mergeCell ref="AN222:AO222"/>
    <mergeCell ref="AP222:AR222"/>
    <mergeCell ref="AW221:AX221"/>
    <mergeCell ref="AY221:AZ221"/>
    <mergeCell ref="BA221:BC221"/>
    <mergeCell ref="BD221:BE221"/>
    <mergeCell ref="BN221:BP221"/>
    <mergeCell ref="A222:L222"/>
    <mergeCell ref="M222:O222"/>
    <mergeCell ref="P222:T222"/>
    <mergeCell ref="U222:W222"/>
    <mergeCell ref="X222:AA222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T220:AV220"/>
    <mergeCell ref="AW220:AX220"/>
    <mergeCell ref="AY220:AZ220"/>
    <mergeCell ref="BA220:BC220"/>
    <mergeCell ref="BD220:BE220"/>
    <mergeCell ref="BN220:BP220"/>
    <mergeCell ref="AB220:AD220"/>
    <mergeCell ref="AG220:AI220"/>
    <mergeCell ref="AJ220:AK220"/>
    <mergeCell ref="AL220:AM220"/>
    <mergeCell ref="AN220:AO220"/>
    <mergeCell ref="AP220:AR220"/>
    <mergeCell ref="AW219:AX219"/>
    <mergeCell ref="AY219:AZ219"/>
    <mergeCell ref="BA219:BC219"/>
    <mergeCell ref="BD219:BE219"/>
    <mergeCell ref="BN219:BP219"/>
    <mergeCell ref="A220:L220"/>
    <mergeCell ref="M220:O220"/>
    <mergeCell ref="P220:T220"/>
    <mergeCell ref="U220:W220"/>
    <mergeCell ref="X220:AA220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T218:AV218"/>
    <mergeCell ref="AW218:AX218"/>
    <mergeCell ref="AY218:AZ218"/>
    <mergeCell ref="BA218:BC218"/>
    <mergeCell ref="BD218:BE218"/>
    <mergeCell ref="BN218:BP218"/>
    <mergeCell ref="AB218:AD218"/>
    <mergeCell ref="AG218:AI218"/>
    <mergeCell ref="AJ218:AK218"/>
    <mergeCell ref="AL218:AM218"/>
    <mergeCell ref="AN218:AO218"/>
    <mergeCell ref="AP218:AR218"/>
    <mergeCell ref="AW217:AX217"/>
    <mergeCell ref="AY217:AZ217"/>
    <mergeCell ref="BA217:BC217"/>
    <mergeCell ref="BD217:BE217"/>
    <mergeCell ref="BN217:BP217"/>
    <mergeCell ref="A218:L218"/>
    <mergeCell ref="M218:O218"/>
    <mergeCell ref="P218:T218"/>
    <mergeCell ref="U218:W218"/>
    <mergeCell ref="X218:AA218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T216:AV216"/>
    <mergeCell ref="AW216:AX216"/>
    <mergeCell ref="AY216:AZ216"/>
    <mergeCell ref="BA216:BC216"/>
    <mergeCell ref="BD216:BE216"/>
    <mergeCell ref="BN216:BP216"/>
    <mergeCell ref="AB216:AD216"/>
    <mergeCell ref="AG216:AI216"/>
    <mergeCell ref="AJ216:AK216"/>
    <mergeCell ref="AL216:AM216"/>
    <mergeCell ref="AN216:AO216"/>
    <mergeCell ref="AP216:AR216"/>
    <mergeCell ref="AW215:AX215"/>
    <mergeCell ref="AY215:AZ215"/>
    <mergeCell ref="BA215:BC215"/>
    <mergeCell ref="BD215:BE215"/>
    <mergeCell ref="BN215:BP215"/>
    <mergeCell ref="A216:L216"/>
    <mergeCell ref="M216:O216"/>
    <mergeCell ref="P216:T216"/>
    <mergeCell ref="U216:W216"/>
    <mergeCell ref="X216:AA216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T214:AV214"/>
    <mergeCell ref="AW214:AX214"/>
    <mergeCell ref="AY214:AZ214"/>
    <mergeCell ref="BA214:BC214"/>
    <mergeCell ref="BD214:BE214"/>
    <mergeCell ref="BN214:BP214"/>
    <mergeCell ref="AB214:AD214"/>
    <mergeCell ref="AG214:AI214"/>
    <mergeCell ref="AJ214:AK214"/>
    <mergeCell ref="AL214:AM214"/>
    <mergeCell ref="AN214:AO214"/>
    <mergeCell ref="AP214:AR214"/>
    <mergeCell ref="AW213:AX213"/>
    <mergeCell ref="AY213:AZ213"/>
    <mergeCell ref="BA213:BC213"/>
    <mergeCell ref="BD213:BE213"/>
    <mergeCell ref="BN213:BP213"/>
    <mergeCell ref="A214:L214"/>
    <mergeCell ref="M214:O214"/>
    <mergeCell ref="P214:T214"/>
    <mergeCell ref="U214:W214"/>
    <mergeCell ref="X214:AA214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L212:AM212"/>
    <mergeCell ref="AN212:AO212"/>
    <mergeCell ref="AP212:AR212"/>
    <mergeCell ref="AT212:AV212"/>
    <mergeCell ref="AW212:AX212"/>
    <mergeCell ref="AY211:BQ211"/>
    <mergeCell ref="AY212:AZ212"/>
    <mergeCell ref="BA212:BC212"/>
    <mergeCell ref="BD212:BE212"/>
    <mergeCell ref="BN212:BP212"/>
    <mergeCell ref="A210:BQ210"/>
    <mergeCell ref="A211:L212"/>
    <mergeCell ref="M211:O212"/>
    <mergeCell ref="P211:T212"/>
    <mergeCell ref="U211:AX211"/>
    <mergeCell ref="U212:W212"/>
    <mergeCell ref="X212:AA212"/>
    <mergeCell ref="AB212:AD212"/>
    <mergeCell ref="AG212:AI212"/>
    <mergeCell ref="AJ212:AK212"/>
    <mergeCell ref="AW208:AX208"/>
    <mergeCell ref="AY208:AZ208"/>
    <mergeCell ref="BA208:BC208"/>
    <mergeCell ref="BD208:BE208"/>
    <mergeCell ref="BN208:BP208"/>
    <mergeCell ref="A209:BQ209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T207:AV207"/>
    <mergeCell ref="AW207:AX207"/>
    <mergeCell ref="AY207:AZ207"/>
    <mergeCell ref="BA207:BC207"/>
    <mergeCell ref="BD207:BE207"/>
    <mergeCell ref="BN207:BP207"/>
    <mergeCell ref="AB207:AD207"/>
    <mergeCell ref="AG207:AI207"/>
    <mergeCell ref="AJ207:AK207"/>
    <mergeCell ref="AL207:AM207"/>
    <mergeCell ref="AN207:AO207"/>
    <mergeCell ref="AP207:AR207"/>
    <mergeCell ref="AW206:AX206"/>
    <mergeCell ref="AY206:AZ206"/>
    <mergeCell ref="BA206:BC206"/>
    <mergeCell ref="BD206:BE206"/>
    <mergeCell ref="BN206:BP206"/>
    <mergeCell ref="A207:L207"/>
    <mergeCell ref="M207:O207"/>
    <mergeCell ref="P207:T207"/>
    <mergeCell ref="U207:W207"/>
    <mergeCell ref="X207:AA207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T205:AV205"/>
    <mergeCell ref="AW205:AX205"/>
    <mergeCell ref="AY205:AZ205"/>
    <mergeCell ref="BA205:BC205"/>
    <mergeCell ref="BD205:BE205"/>
    <mergeCell ref="BN205:BP205"/>
    <mergeCell ref="AB205:AD205"/>
    <mergeCell ref="AG205:AI205"/>
    <mergeCell ref="AJ205:AK205"/>
    <mergeCell ref="AL205:AM205"/>
    <mergeCell ref="AN205:AO205"/>
    <mergeCell ref="AP205:AR205"/>
    <mergeCell ref="AW204:AX204"/>
    <mergeCell ref="AY204:AZ204"/>
    <mergeCell ref="BA204:BC204"/>
    <mergeCell ref="BD204:BE204"/>
    <mergeCell ref="BN204:BP204"/>
    <mergeCell ref="A205:L205"/>
    <mergeCell ref="M205:O205"/>
    <mergeCell ref="P205:T205"/>
    <mergeCell ref="U205:W205"/>
    <mergeCell ref="X205:AA205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T203:AV203"/>
    <mergeCell ref="AW203:AX203"/>
    <mergeCell ref="AY203:AZ203"/>
    <mergeCell ref="BA203:BC203"/>
    <mergeCell ref="BD203:BE203"/>
    <mergeCell ref="BN203:BP203"/>
    <mergeCell ref="AB203:AD203"/>
    <mergeCell ref="AG203:AI203"/>
    <mergeCell ref="AJ203:AK203"/>
    <mergeCell ref="AL203:AM203"/>
    <mergeCell ref="AN203:AO203"/>
    <mergeCell ref="AP203:AR203"/>
    <mergeCell ref="AW202:AX202"/>
    <mergeCell ref="AY202:AZ202"/>
    <mergeCell ref="BA202:BC202"/>
    <mergeCell ref="BD202:BE202"/>
    <mergeCell ref="BN202:BP202"/>
    <mergeCell ref="A203:L203"/>
    <mergeCell ref="M203:O203"/>
    <mergeCell ref="P203:T203"/>
    <mergeCell ref="U203:W203"/>
    <mergeCell ref="X203:AA203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T201:AV201"/>
    <mergeCell ref="AW201:AX201"/>
    <mergeCell ref="AY201:AZ201"/>
    <mergeCell ref="BA201:BC201"/>
    <mergeCell ref="BD201:BE201"/>
    <mergeCell ref="BN201:BP201"/>
    <mergeCell ref="AB201:AD201"/>
    <mergeCell ref="AG201:AI201"/>
    <mergeCell ref="AJ201:AK201"/>
    <mergeCell ref="AL201:AM201"/>
    <mergeCell ref="AN201:AO201"/>
    <mergeCell ref="AP201:AR201"/>
    <mergeCell ref="AW200:AX200"/>
    <mergeCell ref="AY200:AZ200"/>
    <mergeCell ref="BA200:BC200"/>
    <mergeCell ref="BD200:BE200"/>
    <mergeCell ref="BN200:BP200"/>
    <mergeCell ref="A201:L201"/>
    <mergeCell ref="M201:O201"/>
    <mergeCell ref="P201:T201"/>
    <mergeCell ref="U201:W201"/>
    <mergeCell ref="X201:AA201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T199:AV199"/>
    <mergeCell ref="AW199:AX199"/>
    <mergeCell ref="AY199:AZ199"/>
    <mergeCell ref="BA199:BC199"/>
    <mergeCell ref="BD199:BE199"/>
    <mergeCell ref="BN199:BP199"/>
    <mergeCell ref="AB199:AD199"/>
    <mergeCell ref="AG199:AI199"/>
    <mergeCell ref="AJ199:AK199"/>
    <mergeCell ref="AL199:AM199"/>
    <mergeCell ref="AN199:AO199"/>
    <mergeCell ref="AP199:AR199"/>
    <mergeCell ref="AW198:AX198"/>
    <mergeCell ref="AY198:AZ198"/>
    <mergeCell ref="BA198:BC198"/>
    <mergeCell ref="BD198:BE198"/>
    <mergeCell ref="BN198:BP198"/>
    <mergeCell ref="A199:L199"/>
    <mergeCell ref="M199:O199"/>
    <mergeCell ref="P199:T199"/>
    <mergeCell ref="U199:W199"/>
    <mergeCell ref="X199:AA199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T197:AV197"/>
    <mergeCell ref="AW197:AX197"/>
    <mergeCell ref="AY197:AZ197"/>
    <mergeCell ref="BA197:BC197"/>
    <mergeCell ref="BD197:BE197"/>
    <mergeCell ref="BN197:BP197"/>
    <mergeCell ref="AB197:AD197"/>
    <mergeCell ref="AG197:AI197"/>
    <mergeCell ref="AJ197:AK197"/>
    <mergeCell ref="AL197:AM197"/>
    <mergeCell ref="AN197:AO197"/>
    <mergeCell ref="AP197:AR197"/>
    <mergeCell ref="AW196:AX196"/>
    <mergeCell ref="AY196:AZ196"/>
    <mergeCell ref="BA196:BC196"/>
    <mergeCell ref="BD196:BE196"/>
    <mergeCell ref="BN196:BP196"/>
    <mergeCell ref="A197:L197"/>
    <mergeCell ref="M197:O197"/>
    <mergeCell ref="P197:T197"/>
    <mergeCell ref="U197:W197"/>
    <mergeCell ref="X197:AA197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T195:AV195"/>
    <mergeCell ref="AW195:AX195"/>
    <mergeCell ref="AY195:AZ195"/>
    <mergeCell ref="BA195:BC195"/>
    <mergeCell ref="BD195:BE195"/>
    <mergeCell ref="BN195:BP195"/>
    <mergeCell ref="AB195:AD195"/>
    <mergeCell ref="AG195:AI195"/>
    <mergeCell ref="AJ195:AK195"/>
    <mergeCell ref="AL195:AM195"/>
    <mergeCell ref="AN195:AO195"/>
    <mergeCell ref="AP195:AR195"/>
    <mergeCell ref="AW194:AX194"/>
    <mergeCell ref="AY194:AZ194"/>
    <mergeCell ref="BA194:BC194"/>
    <mergeCell ref="BD194:BE194"/>
    <mergeCell ref="BN194:BP194"/>
    <mergeCell ref="A195:L195"/>
    <mergeCell ref="M195:O195"/>
    <mergeCell ref="P195:T195"/>
    <mergeCell ref="U195:W195"/>
    <mergeCell ref="X195:AA195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T193:AV193"/>
    <mergeCell ref="AW193:AX193"/>
    <mergeCell ref="AY193:AZ193"/>
    <mergeCell ref="BA193:BC193"/>
    <mergeCell ref="BD193:BE193"/>
    <mergeCell ref="BN193:BP193"/>
    <mergeCell ref="AB193:AD193"/>
    <mergeCell ref="AG193:AI193"/>
    <mergeCell ref="AJ193:AK193"/>
    <mergeCell ref="AL193:AM193"/>
    <mergeCell ref="AN193:AO193"/>
    <mergeCell ref="AP193:AR193"/>
    <mergeCell ref="AW192:AX192"/>
    <mergeCell ref="AY192:AZ192"/>
    <mergeCell ref="BA192:BC192"/>
    <mergeCell ref="BD192:BE192"/>
    <mergeCell ref="BN192:BP192"/>
    <mergeCell ref="A193:L193"/>
    <mergeCell ref="M193:O193"/>
    <mergeCell ref="P193:T193"/>
    <mergeCell ref="U193:W193"/>
    <mergeCell ref="X193:AA193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T191:AV191"/>
    <mergeCell ref="AW191:AX191"/>
    <mergeCell ref="AY191:AZ191"/>
    <mergeCell ref="BA191:BC191"/>
    <mergeCell ref="BD191:BE191"/>
    <mergeCell ref="BN191:BP191"/>
    <mergeCell ref="AB191:AD191"/>
    <mergeCell ref="AG191:AI191"/>
    <mergeCell ref="AJ191:AK191"/>
    <mergeCell ref="AL191:AM191"/>
    <mergeCell ref="AN191:AO191"/>
    <mergeCell ref="AP191:AR191"/>
    <mergeCell ref="AW190:AX190"/>
    <mergeCell ref="AY190:AZ190"/>
    <mergeCell ref="BA190:BC190"/>
    <mergeCell ref="BD190:BE190"/>
    <mergeCell ref="BN190:BP190"/>
    <mergeCell ref="A191:L191"/>
    <mergeCell ref="M191:O191"/>
    <mergeCell ref="P191:T191"/>
    <mergeCell ref="U191:W191"/>
    <mergeCell ref="X191:AA191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T189:AV189"/>
    <mergeCell ref="AW189:AX189"/>
    <mergeCell ref="AY189:AZ189"/>
    <mergeCell ref="BA189:BC189"/>
    <mergeCell ref="BD189:BE189"/>
    <mergeCell ref="BN189:BP189"/>
    <mergeCell ref="AB189:AD189"/>
    <mergeCell ref="AG189:AI189"/>
    <mergeCell ref="AJ189:AK189"/>
    <mergeCell ref="AL189:AM189"/>
    <mergeCell ref="AN189:AO189"/>
    <mergeCell ref="AP189:AR189"/>
    <mergeCell ref="AW188:AX188"/>
    <mergeCell ref="AY188:AZ188"/>
    <mergeCell ref="BA188:BC188"/>
    <mergeCell ref="BD188:BE188"/>
    <mergeCell ref="BN188:BP188"/>
    <mergeCell ref="A189:L189"/>
    <mergeCell ref="M189:O189"/>
    <mergeCell ref="P189:T189"/>
    <mergeCell ref="U189:W189"/>
    <mergeCell ref="X189:AA189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T187:AV187"/>
    <mergeCell ref="AW187:AX187"/>
    <mergeCell ref="AY187:AZ187"/>
    <mergeCell ref="BA187:BC187"/>
    <mergeCell ref="BD187:BE187"/>
    <mergeCell ref="BN187:BP187"/>
    <mergeCell ref="AB187:AD187"/>
    <mergeCell ref="AG187:AI187"/>
    <mergeCell ref="AJ187:AK187"/>
    <mergeCell ref="AL187:AM187"/>
    <mergeCell ref="AN187:AO187"/>
    <mergeCell ref="AP187:AR187"/>
    <mergeCell ref="AW186:AX186"/>
    <mergeCell ref="AY186:AZ186"/>
    <mergeCell ref="BA186:BC186"/>
    <mergeCell ref="BD186:BE186"/>
    <mergeCell ref="BN186:BP186"/>
    <mergeCell ref="A187:L187"/>
    <mergeCell ref="M187:O187"/>
    <mergeCell ref="P187:T187"/>
    <mergeCell ref="U187:W187"/>
    <mergeCell ref="X187:AA187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T185:AV185"/>
    <mergeCell ref="AW185:AX185"/>
    <mergeCell ref="AY185:AZ185"/>
    <mergeCell ref="BA185:BC185"/>
    <mergeCell ref="BD185:BE185"/>
    <mergeCell ref="BN185:BP185"/>
    <mergeCell ref="AB185:AD185"/>
    <mergeCell ref="AG185:AI185"/>
    <mergeCell ref="AJ185:AK185"/>
    <mergeCell ref="AL185:AM185"/>
    <mergeCell ref="AN185:AO185"/>
    <mergeCell ref="AP185:AR185"/>
    <mergeCell ref="AW184:AX184"/>
    <mergeCell ref="AY184:AZ184"/>
    <mergeCell ref="BA184:BC184"/>
    <mergeCell ref="BD184:BE184"/>
    <mergeCell ref="BN184:BP184"/>
    <mergeCell ref="A185:L185"/>
    <mergeCell ref="M185:O185"/>
    <mergeCell ref="P185:T185"/>
    <mergeCell ref="U185:W185"/>
    <mergeCell ref="X185:AA185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T183:AV183"/>
    <mergeCell ref="AW183:AX183"/>
    <mergeCell ref="AY183:AZ183"/>
    <mergeCell ref="BA183:BC183"/>
    <mergeCell ref="BD183:BE183"/>
    <mergeCell ref="BN183:BP183"/>
    <mergeCell ref="AB183:AD183"/>
    <mergeCell ref="AG183:AI183"/>
    <mergeCell ref="AJ183:AK183"/>
    <mergeCell ref="AL183:AM183"/>
    <mergeCell ref="AN183:AO183"/>
    <mergeCell ref="AP183:AR183"/>
    <mergeCell ref="AW182:AX182"/>
    <mergeCell ref="AY182:AZ182"/>
    <mergeCell ref="BA182:BC182"/>
    <mergeCell ref="BD182:BE182"/>
    <mergeCell ref="BN182:BP182"/>
    <mergeCell ref="A183:L183"/>
    <mergeCell ref="M183:O183"/>
    <mergeCell ref="P183:T183"/>
    <mergeCell ref="U183:W183"/>
    <mergeCell ref="X183:AA183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T181:AV181"/>
    <mergeCell ref="AW181:AX181"/>
    <mergeCell ref="AY181:AZ181"/>
    <mergeCell ref="BA181:BC181"/>
    <mergeCell ref="BD181:BE181"/>
    <mergeCell ref="BN181:BP181"/>
    <mergeCell ref="AB181:AD181"/>
    <mergeCell ref="AG181:AI181"/>
    <mergeCell ref="AJ181:AK181"/>
    <mergeCell ref="AL181:AM181"/>
    <mergeCell ref="AN181:AO181"/>
    <mergeCell ref="AP181:AR181"/>
    <mergeCell ref="AW180:AX180"/>
    <mergeCell ref="AY180:AZ180"/>
    <mergeCell ref="BA180:BC180"/>
    <mergeCell ref="BD180:BE180"/>
    <mergeCell ref="BN180:BP180"/>
    <mergeCell ref="A181:L181"/>
    <mergeCell ref="M181:O181"/>
    <mergeCell ref="P181:T181"/>
    <mergeCell ref="U181:W181"/>
    <mergeCell ref="X181:AA181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T179:AV179"/>
    <mergeCell ref="AW179:AX179"/>
    <mergeCell ref="AY179:AZ179"/>
    <mergeCell ref="BA179:BC179"/>
    <mergeCell ref="BD179:BE179"/>
    <mergeCell ref="BN179:BP179"/>
    <mergeCell ref="AB179:AD179"/>
    <mergeCell ref="AG179:AI179"/>
    <mergeCell ref="AJ179:AK179"/>
    <mergeCell ref="AL179:AM179"/>
    <mergeCell ref="AN179:AO179"/>
    <mergeCell ref="AP179:AR179"/>
    <mergeCell ref="AW178:AX178"/>
    <mergeCell ref="AY178:AZ178"/>
    <mergeCell ref="BA178:BC178"/>
    <mergeCell ref="BD178:BE178"/>
    <mergeCell ref="BN178:BP178"/>
    <mergeCell ref="A179:L179"/>
    <mergeCell ref="M179:O179"/>
    <mergeCell ref="P179:T179"/>
    <mergeCell ref="U179:W179"/>
    <mergeCell ref="X179:AA179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T177:AV177"/>
    <mergeCell ref="AW177:AX177"/>
    <mergeCell ref="AY177:AZ177"/>
    <mergeCell ref="BA177:BC177"/>
    <mergeCell ref="BD177:BE177"/>
    <mergeCell ref="BN177:BP177"/>
    <mergeCell ref="AB177:AD177"/>
    <mergeCell ref="AG177:AI177"/>
    <mergeCell ref="AJ177:AK177"/>
    <mergeCell ref="AL177:AM177"/>
    <mergeCell ref="AN177:AO177"/>
    <mergeCell ref="AP177:AR177"/>
    <mergeCell ref="AW176:AX176"/>
    <mergeCell ref="AY176:AZ176"/>
    <mergeCell ref="BA176:BC176"/>
    <mergeCell ref="BD176:BE176"/>
    <mergeCell ref="BN176:BP176"/>
    <mergeCell ref="A177:L177"/>
    <mergeCell ref="M177:O177"/>
    <mergeCell ref="P177:T177"/>
    <mergeCell ref="U177:W177"/>
    <mergeCell ref="X177:AA177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T175:AV175"/>
    <mergeCell ref="AW175:AX175"/>
    <mergeCell ref="AY175:AZ175"/>
    <mergeCell ref="BA175:BC175"/>
    <mergeCell ref="BD175:BE175"/>
    <mergeCell ref="BN175:BP175"/>
    <mergeCell ref="AB175:AD175"/>
    <mergeCell ref="AG175:AI175"/>
    <mergeCell ref="AJ175:AK175"/>
    <mergeCell ref="AL175:AM175"/>
    <mergeCell ref="AN175:AO175"/>
    <mergeCell ref="AP175:AR175"/>
    <mergeCell ref="AW174:AX174"/>
    <mergeCell ref="AY174:AZ174"/>
    <mergeCell ref="BA174:BC174"/>
    <mergeCell ref="BD174:BE174"/>
    <mergeCell ref="BN174:BP174"/>
    <mergeCell ref="A175:L175"/>
    <mergeCell ref="M175:O175"/>
    <mergeCell ref="P175:T175"/>
    <mergeCell ref="U175:W175"/>
    <mergeCell ref="X175:AA175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T173:AV173"/>
    <mergeCell ref="AW173:AX173"/>
    <mergeCell ref="AY173:AZ173"/>
    <mergeCell ref="BA173:BC173"/>
    <mergeCell ref="BD173:BE173"/>
    <mergeCell ref="BN173:BP173"/>
    <mergeCell ref="AB173:AD173"/>
    <mergeCell ref="AG173:AI173"/>
    <mergeCell ref="AJ173:AK173"/>
    <mergeCell ref="AL173:AM173"/>
    <mergeCell ref="AN173:AO173"/>
    <mergeCell ref="AP173:AR173"/>
    <mergeCell ref="AW172:AX172"/>
    <mergeCell ref="AY172:AZ172"/>
    <mergeCell ref="BA172:BC172"/>
    <mergeCell ref="BD172:BE172"/>
    <mergeCell ref="BN172:BP172"/>
    <mergeCell ref="A173:L173"/>
    <mergeCell ref="M173:O173"/>
    <mergeCell ref="P173:T173"/>
    <mergeCell ref="U173:W173"/>
    <mergeCell ref="X173:AA173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T171:AV171"/>
    <mergeCell ref="AW171:AX171"/>
    <mergeCell ref="AY171:AZ171"/>
    <mergeCell ref="BA171:BC171"/>
    <mergeCell ref="BD171:BE171"/>
    <mergeCell ref="BN171:BP171"/>
    <mergeCell ref="AB171:AD171"/>
    <mergeCell ref="AG171:AI171"/>
    <mergeCell ref="AJ171:AK171"/>
    <mergeCell ref="AL171:AM171"/>
    <mergeCell ref="AN171:AO171"/>
    <mergeCell ref="AP171:AR171"/>
    <mergeCell ref="AW170:AX170"/>
    <mergeCell ref="AY170:AZ170"/>
    <mergeCell ref="BA170:BC170"/>
    <mergeCell ref="BD170:BE170"/>
    <mergeCell ref="BN170:BP170"/>
    <mergeCell ref="A171:L171"/>
    <mergeCell ref="M171:O171"/>
    <mergeCell ref="P171:T171"/>
    <mergeCell ref="U171:W171"/>
    <mergeCell ref="X171:AA171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T169:AV169"/>
    <mergeCell ref="AW169:AX169"/>
    <mergeCell ref="AY169:AZ169"/>
    <mergeCell ref="BA169:BC169"/>
    <mergeCell ref="BD169:BE169"/>
    <mergeCell ref="BN169:BP169"/>
    <mergeCell ref="AB169:AD169"/>
    <mergeCell ref="AG169:AI169"/>
    <mergeCell ref="AJ169:AK169"/>
    <mergeCell ref="AL169:AM169"/>
    <mergeCell ref="AN169:AO169"/>
    <mergeCell ref="AP169:AR169"/>
    <mergeCell ref="AW168:AX168"/>
    <mergeCell ref="AY168:AZ168"/>
    <mergeCell ref="BA168:BC168"/>
    <mergeCell ref="BD168:BE168"/>
    <mergeCell ref="BN168:BP168"/>
    <mergeCell ref="A169:L169"/>
    <mergeCell ref="M169:O169"/>
    <mergeCell ref="P169:T169"/>
    <mergeCell ref="U169:W169"/>
    <mergeCell ref="X169:AA169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T167:AV167"/>
    <mergeCell ref="AW167:AX167"/>
    <mergeCell ref="AY167:AZ167"/>
    <mergeCell ref="BA167:BC167"/>
    <mergeCell ref="BD167:BE167"/>
    <mergeCell ref="BN167:BP167"/>
    <mergeCell ref="AB167:AD167"/>
    <mergeCell ref="AG167:AI167"/>
    <mergeCell ref="AJ167:AK167"/>
    <mergeCell ref="AL167:AM167"/>
    <mergeCell ref="AN167:AO167"/>
    <mergeCell ref="AP167:AR167"/>
    <mergeCell ref="AW166:AX166"/>
    <mergeCell ref="AY166:AZ166"/>
    <mergeCell ref="BA166:BC166"/>
    <mergeCell ref="BD166:BE166"/>
    <mergeCell ref="BN166:BP166"/>
    <mergeCell ref="A167:L167"/>
    <mergeCell ref="M167:O167"/>
    <mergeCell ref="P167:T167"/>
    <mergeCell ref="U167:W167"/>
    <mergeCell ref="X167:AA167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T165:AV165"/>
    <mergeCell ref="AW165:AX165"/>
    <mergeCell ref="AY165:AZ165"/>
    <mergeCell ref="BA165:BC165"/>
    <mergeCell ref="BD165:BE165"/>
    <mergeCell ref="BN165:BP165"/>
    <mergeCell ref="AB165:AD165"/>
    <mergeCell ref="AG165:AI165"/>
    <mergeCell ref="AJ165:AK165"/>
    <mergeCell ref="AL165:AM165"/>
    <mergeCell ref="AN165:AO165"/>
    <mergeCell ref="AP165:AR165"/>
    <mergeCell ref="AW164:AX164"/>
    <mergeCell ref="AY164:AZ164"/>
    <mergeCell ref="BA164:BC164"/>
    <mergeCell ref="BD164:BE164"/>
    <mergeCell ref="BN164:BP164"/>
    <mergeCell ref="A165:L165"/>
    <mergeCell ref="M165:O165"/>
    <mergeCell ref="P165:T165"/>
    <mergeCell ref="U165:W165"/>
    <mergeCell ref="X165:AA165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T163:AV163"/>
    <mergeCell ref="AW163:AX163"/>
    <mergeCell ref="AY163:AZ163"/>
    <mergeCell ref="BA163:BC163"/>
    <mergeCell ref="BD163:BE163"/>
    <mergeCell ref="BN163:BP163"/>
    <mergeCell ref="AB163:AD163"/>
    <mergeCell ref="AG163:AI163"/>
    <mergeCell ref="AJ163:AK163"/>
    <mergeCell ref="AL163:AM163"/>
    <mergeCell ref="AN163:AO163"/>
    <mergeCell ref="AP163:AR163"/>
    <mergeCell ref="AW162:AX162"/>
    <mergeCell ref="AY162:AZ162"/>
    <mergeCell ref="BA162:BC162"/>
    <mergeCell ref="BD162:BE162"/>
    <mergeCell ref="BN162:BP162"/>
    <mergeCell ref="A163:L163"/>
    <mergeCell ref="M163:O163"/>
    <mergeCell ref="P163:T163"/>
    <mergeCell ref="U163:W163"/>
    <mergeCell ref="X163:AA163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T161:AV161"/>
    <mergeCell ref="AW161:AX161"/>
    <mergeCell ref="AY161:AZ161"/>
    <mergeCell ref="BA161:BC161"/>
    <mergeCell ref="BD161:BE161"/>
    <mergeCell ref="BN161:BP161"/>
    <mergeCell ref="AB161:AD161"/>
    <mergeCell ref="AG161:AI161"/>
    <mergeCell ref="AJ161:AK161"/>
    <mergeCell ref="AL161:AM161"/>
    <mergeCell ref="AN161:AO161"/>
    <mergeCell ref="AP161:AR161"/>
    <mergeCell ref="AW160:AX160"/>
    <mergeCell ref="AY160:AZ160"/>
    <mergeCell ref="BA160:BC160"/>
    <mergeCell ref="BD160:BE160"/>
    <mergeCell ref="BN160:BP160"/>
    <mergeCell ref="A161:L161"/>
    <mergeCell ref="M161:O161"/>
    <mergeCell ref="P161:T161"/>
    <mergeCell ref="U161:W161"/>
    <mergeCell ref="X161:AA161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T159:AV159"/>
    <mergeCell ref="AW159:AX159"/>
    <mergeCell ref="AY159:AZ159"/>
    <mergeCell ref="BA159:BC159"/>
    <mergeCell ref="BD159:BE159"/>
    <mergeCell ref="BN159:BP159"/>
    <mergeCell ref="AB159:AD159"/>
    <mergeCell ref="AG159:AI159"/>
    <mergeCell ref="AJ159:AK159"/>
    <mergeCell ref="AL159:AM159"/>
    <mergeCell ref="AN159:AO159"/>
    <mergeCell ref="AP159:AR159"/>
    <mergeCell ref="AW158:AX158"/>
    <mergeCell ref="AY158:AZ158"/>
    <mergeCell ref="BA158:BC158"/>
    <mergeCell ref="BD158:BE158"/>
    <mergeCell ref="BN158:BP158"/>
    <mergeCell ref="A159:L159"/>
    <mergeCell ref="M159:O159"/>
    <mergeCell ref="P159:T159"/>
    <mergeCell ref="U159:W159"/>
    <mergeCell ref="X159:AA159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T157:AV157"/>
    <mergeCell ref="AW157:AX157"/>
    <mergeCell ref="AY157:AZ157"/>
    <mergeCell ref="BA157:BC157"/>
    <mergeCell ref="BD157:BE157"/>
    <mergeCell ref="BN157:BP157"/>
    <mergeCell ref="AB157:AD157"/>
    <mergeCell ref="AG157:AI157"/>
    <mergeCell ref="AJ157:AK157"/>
    <mergeCell ref="AL157:AM157"/>
    <mergeCell ref="AN157:AO157"/>
    <mergeCell ref="AP157:AR157"/>
    <mergeCell ref="AW156:AX156"/>
    <mergeCell ref="AY156:AZ156"/>
    <mergeCell ref="BA156:BC156"/>
    <mergeCell ref="BD156:BE156"/>
    <mergeCell ref="BN156:BP156"/>
    <mergeCell ref="A157:L157"/>
    <mergeCell ref="M157:O157"/>
    <mergeCell ref="P157:T157"/>
    <mergeCell ref="U157:W157"/>
    <mergeCell ref="X157:AA157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T155:AV155"/>
    <mergeCell ref="AW155:AX155"/>
    <mergeCell ref="AY155:AZ155"/>
    <mergeCell ref="BA155:BC155"/>
    <mergeCell ref="BD155:BE155"/>
    <mergeCell ref="BN155:BP155"/>
    <mergeCell ref="AB155:AD155"/>
    <mergeCell ref="AG155:AI155"/>
    <mergeCell ref="AJ155:AK155"/>
    <mergeCell ref="AL155:AM155"/>
    <mergeCell ref="AN155:AO155"/>
    <mergeCell ref="AP155:AR155"/>
    <mergeCell ref="AW154:AX154"/>
    <mergeCell ref="AY154:AZ154"/>
    <mergeCell ref="BA154:BC154"/>
    <mergeCell ref="BD154:BE154"/>
    <mergeCell ref="BN154:BP154"/>
    <mergeCell ref="A155:L155"/>
    <mergeCell ref="M155:O155"/>
    <mergeCell ref="P155:T155"/>
    <mergeCell ref="U155:W155"/>
    <mergeCell ref="X155:AA155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T153:AV153"/>
    <mergeCell ref="AW153:AX153"/>
    <mergeCell ref="AY153:AZ153"/>
    <mergeCell ref="BA153:BC153"/>
    <mergeCell ref="BD153:BE153"/>
    <mergeCell ref="BN153:BP153"/>
    <mergeCell ref="AB153:AD153"/>
    <mergeCell ref="AG153:AI153"/>
    <mergeCell ref="AJ153:AK153"/>
    <mergeCell ref="AL153:AM153"/>
    <mergeCell ref="AN153:AO153"/>
    <mergeCell ref="AP153:AR153"/>
    <mergeCell ref="AW152:AX152"/>
    <mergeCell ref="AY152:AZ152"/>
    <mergeCell ref="BA152:BC152"/>
    <mergeCell ref="BD152:BE152"/>
    <mergeCell ref="BN152:BP152"/>
    <mergeCell ref="A153:L153"/>
    <mergeCell ref="M153:O153"/>
    <mergeCell ref="P153:T153"/>
    <mergeCell ref="U153:W153"/>
    <mergeCell ref="X153:AA153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T151:AV151"/>
    <mergeCell ref="AW151:AX151"/>
    <mergeCell ref="AY151:AZ151"/>
    <mergeCell ref="BA151:BC151"/>
    <mergeCell ref="BD151:BE151"/>
    <mergeCell ref="BN151:BP151"/>
    <mergeCell ref="AB151:AD151"/>
    <mergeCell ref="AG151:AI151"/>
    <mergeCell ref="AJ151:AK151"/>
    <mergeCell ref="AL151:AM151"/>
    <mergeCell ref="AN151:AO151"/>
    <mergeCell ref="AP151:AR151"/>
    <mergeCell ref="AW150:AX150"/>
    <mergeCell ref="AY150:AZ150"/>
    <mergeCell ref="BA150:BC150"/>
    <mergeCell ref="BD150:BE150"/>
    <mergeCell ref="BN150:BP150"/>
    <mergeCell ref="A151:L151"/>
    <mergeCell ref="M151:O151"/>
    <mergeCell ref="P151:T151"/>
    <mergeCell ref="U151:W151"/>
    <mergeCell ref="X151:AA151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T149:AV149"/>
    <mergeCell ref="AW149:AX149"/>
    <mergeCell ref="AY149:AZ149"/>
    <mergeCell ref="BA149:BC149"/>
    <mergeCell ref="BD149:BE149"/>
    <mergeCell ref="BN149:BP149"/>
    <mergeCell ref="AB149:AD149"/>
    <mergeCell ref="AG149:AI149"/>
    <mergeCell ref="AJ149:AK149"/>
    <mergeCell ref="AL149:AM149"/>
    <mergeCell ref="AN149:AO149"/>
    <mergeCell ref="AP149:AR149"/>
    <mergeCell ref="AW148:AX148"/>
    <mergeCell ref="AY148:AZ148"/>
    <mergeCell ref="BA148:BC148"/>
    <mergeCell ref="BD148:BE148"/>
    <mergeCell ref="BN148:BP148"/>
    <mergeCell ref="A149:L149"/>
    <mergeCell ref="M149:O149"/>
    <mergeCell ref="P149:T149"/>
    <mergeCell ref="U149:W149"/>
    <mergeCell ref="X149:AA149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T147:AV147"/>
    <mergeCell ref="AW147:AX147"/>
    <mergeCell ref="AY147:AZ147"/>
    <mergeCell ref="BA147:BC147"/>
    <mergeCell ref="BD147:BE147"/>
    <mergeCell ref="BN147:BP147"/>
    <mergeCell ref="AB147:AD147"/>
    <mergeCell ref="AG147:AI147"/>
    <mergeCell ref="AJ147:AK147"/>
    <mergeCell ref="AL147:AM147"/>
    <mergeCell ref="AN147:AO147"/>
    <mergeCell ref="AP147:AR147"/>
    <mergeCell ref="AW146:AX146"/>
    <mergeCell ref="AY146:AZ146"/>
    <mergeCell ref="BA146:BC146"/>
    <mergeCell ref="BD146:BE146"/>
    <mergeCell ref="BN146:BP146"/>
    <mergeCell ref="A147:L147"/>
    <mergeCell ref="M147:O147"/>
    <mergeCell ref="P147:T147"/>
    <mergeCell ref="U147:W147"/>
    <mergeCell ref="X147:AA147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T145:AV145"/>
    <mergeCell ref="AW145:AX145"/>
    <mergeCell ref="AY145:AZ145"/>
    <mergeCell ref="BA145:BC145"/>
    <mergeCell ref="BD145:BE145"/>
    <mergeCell ref="BN145:BP145"/>
    <mergeCell ref="AB145:AD145"/>
    <mergeCell ref="AG145:AI145"/>
    <mergeCell ref="AJ145:AK145"/>
    <mergeCell ref="AL145:AM145"/>
    <mergeCell ref="AN145:AO145"/>
    <mergeCell ref="AP145:AR145"/>
    <mergeCell ref="AW144:AX144"/>
    <mergeCell ref="AY144:AZ144"/>
    <mergeCell ref="BA144:BC144"/>
    <mergeCell ref="BD144:BE144"/>
    <mergeCell ref="BN144:BP144"/>
    <mergeCell ref="A145:L145"/>
    <mergeCell ref="M145:O145"/>
    <mergeCell ref="P145:T145"/>
    <mergeCell ref="U145:W145"/>
    <mergeCell ref="X145:AA145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T143:AV143"/>
    <mergeCell ref="AW143:AX143"/>
    <mergeCell ref="AY143:AZ143"/>
    <mergeCell ref="BA143:BC143"/>
    <mergeCell ref="BD143:BE143"/>
    <mergeCell ref="BN143:BP143"/>
    <mergeCell ref="AB143:AD143"/>
    <mergeCell ref="AG143:AI143"/>
    <mergeCell ref="AJ143:AK143"/>
    <mergeCell ref="AL143:AM143"/>
    <mergeCell ref="AN143:AO143"/>
    <mergeCell ref="AP143:AR143"/>
    <mergeCell ref="AW142:AX142"/>
    <mergeCell ref="AY142:AZ142"/>
    <mergeCell ref="BA142:BC142"/>
    <mergeCell ref="BD142:BE142"/>
    <mergeCell ref="BN142:BP142"/>
    <mergeCell ref="A143:L143"/>
    <mergeCell ref="M143:O143"/>
    <mergeCell ref="P143:T143"/>
    <mergeCell ref="U143:W143"/>
    <mergeCell ref="X143:AA143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T141:AV141"/>
    <mergeCell ref="AW141:AX141"/>
    <mergeCell ref="AY141:AZ141"/>
    <mergeCell ref="BA141:BC141"/>
    <mergeCell ref="BD141:BE141"/>
    <mergeCell ref="BN141:BP141"/>
    <mergeCell ref="AB141:AD141"/>
    <mergeCell ref="AG141:AI141"/>
    <mergeCell ref="AJ141:AK141"/>
    <mergeCell ref="AL141:AM141"/>
    <mergeCell ref="AN141:AO141"/>
    <mergeCell ref="AP141:AR141"/>
    <mergeCell ref="AW140:AX140"/>
    <mergeCell ref="AY140:AZ140"/>
    <mergeCell ref="BA140:BC140"/>
    <mergeCell ref="BD140:BE140"/>
    <mergeCell ref="BN140:BP140"/>
    <mergeCell ref="A141:L141"/>
    <mergeCell ref="M141:O141"/>
    <mergeCell ref="P141:T141"/>
    <mergeCell ref="U141:W141"/>
    <mergeCell ref="X141:AA141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T139:AV139"/>
    <mergeCell ref="AW139:AX139"/>
    <mergeCell ref="AY139:AZ139"/>
    <mergeCell ref="BA139:BC139"/>
    <mergeCell ref="BD139:BE139"/>
    <mergeCell ref="BN139:BP139"/>
    <mergeCell ref="AB139:AD139"/>
    <mergeCell ref="AG139:AI139"/>
    <mergeCell ref="AJ139:AK139"/>
    <mergeCell ref="AL139:AM139"/>
    <mergeCell ref="AN139:AO139"/>
    <mergeCell ref="AP139:AR139"/>
    <mergeCell ref="AW138:AX138"/>
    <mergeCell ref="AY138:AZ138"/>
    <mergeCell ref="BA138:BC138"/>
    <mergeCell ref="BD138:BE138"/>
    <mergeCell ref="BN138:BP138"/>
    <mergeCell ref="A139:L139"/>
    <mergeCell ref="M139:O139"/>
    <mergeCell ref="P139:T139"/>
    <mergeCell ref="U139:W139"/>
    <mergeCell ref="X139:AA139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T137:AV137"/>
    <mergeCell ref="AW137:AX137"/>
    <mergeCell ref="AY137:AZ137"/>
    <mergeCell ref="BA137:BC137"/>
    <mergeCell ref="BD137:BE137"/>
    <mergeCell ref="BN137:BP137"/>
    <mergeCell ref="AB137:AD137"/>
    <mergeCell ref="AG137:AI137"/>
    <mergeCell ref="AJ137:AK137"/>
    <mergeCell ref="AL137:AM137"/>
    <mergeCell ref="AN137:AO137"/>
    <mergeCell ref="AP137:AR137"/>
    <mergeCell ref="AW136:AX136"/>
    <mergeCell ref="AY136:AZ136"/>
    <mergeCell ref="BA136:BC136"/>
    <mergeCell ref="BD136:BE136"/>
    <mergeCell ref="BN136:BP136"/>
    <mergeCell ref="A137:L137"/>
    <mergeCell ref="M137:O137"/>
    <mergeCell ref="P137:T137"/>
    <mergeCell ref="U137:W137"/>
    <mergeCell ref="X137:AA137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T135:AV135"/>
    <mergeCell ref="AW135:AX135"/>
    <mergeCell ref="AY135:AZ135"/>
    <mergeCell ref="BA135:BC135"/>
    <mergeCell ref="BD135:BE135"/>
    <mergeCell ref="BN135:BP135"/>
    <mergeCell ref="AB135:AD135"/>
    <mergeCell ref="AG135:AI135"/>
    <mergeCell ref="AJ135:AK135"/>
    <mergeCell ref="AL135:AM135"/>
    <mergeCell ref="AN135:AO135"/>
    <mergeCell ref="AP135:AR135"/>
    <mergeCell ref="AW134:AX134"/>
    <mergeCell ref="AY134:AZ134"/>
    <mergeCell ref="BA134:BC134"/>
    <mergeCell ref="BD134:BE134"/>
    <mergeCell ref="BN134:BP134"/>
    <mergeCell ref="A135:L135"/>
    <mergeCell ref="M135:O135"/>
    <mergeCell ref="P135:T135"/>
    <mergeCell ref="U135:W135"/>
    <mergeCell ref="X135:AA135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T133:AV133"/>
    <mergeCell ref="AW133:AX133"/>
    <mergeCell ref="AY133:AZ133"/>
    <mergeCell ref="BA133:BC133"/>
    <mergeCell ref="BD133:BE133"/>
    <mergeCell ref="BN133:BP133"/>
    <mergeCell ref="AB133:AD133"/>
    <mergeCell ref="AG133:AI133"/>
    <mergeCell ref="AJ133:AK133"/>
    <mergeCell ref="AL133:AM133"/>
    <mergeCell ref="AN133:AO133"/>
    <mergeCell ref="AP133:AR133"/>
    <mergeCell ref="AW132:AX132"/>
    <mergeCell ref="AY132:AZ132"/>
    <mergeCell ref="BA132:BC132"/>
    <mergeCell ref="BD132:BE132"/>
    <mergeCell ref="BN132:BP132"/>
    <mergeCell ref="A133:L133"/>
    <mergeCell ref="M133:O133"/>
    <mergeCell ref="P133:T133"/>
    <mergeCell ref="U133:W133"/>
    <mergeCell ref="X133:AA133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T131:AV131"/>
    <mergeCell ref="AW131:AX131"/>
    <mergeCell ref="AY131:AZ131"/>
    <mergeCell ref="BA131:BC131"/>
    <mergeCell ref="BD131:BE131"/>
    <mergeCell ref="BN131:BP131"/>
    <mergeCell ref="AB131:AD131"/>
    <mergeCell ref="AG131:AI131"/>
    <mergeCell ref="AJ131:AK131"/>
    <mergeCell ref="AL131:AM131"/>
    <mergeCell ref="AN131:AO131"/>
    <mergeCell ref="AP131:AR131"/>
    <mergeCell ref="AW130:AX130"/>
    <mergeCell ref="AY130:AZ130"/>
    <mergeCell ref="BA130:BC130"/>
    <mergeCell ref="BD130:BE130"/>
    <mergeCell ref="BN130:BP130"/>
    <mergeCell ref="A131:L131"/>
    <mergeCell ref="M131:O131"/>
    <mergeCell ref="P131:T131"/>
    <mergeCell ref="U131:W131"/>
    <mergeCell ref="X131:AA131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T129:AV129"/>
    <mergeCell ref="AW129:AX129"/>
    <mergeCell ref="AY129:AZ129"/>
    <mergeCell ref="BA129:BC129"/>
    <mergeCell ref="BD129:BE129"/>
    <mergeCell ref="BN129:BP129"/>
    <mergeCell ref="AB129:AD129"/>
    <mergeCell ref="AG129:AI129"/>
    <mergeCell ref="AJ129:AK129"/>
    <mergeCell ref="AL129:AM129"/>
    <mergeCell ref="AN129:AO129"/>
    <mergeCell ref="AP129:AR129"/>
    <mergeCell ref="AW128:AX128"/>
    <mergeCell ref="AY128:AZ128"/>
    <mergeCell ref="BA128:BC128"/>
    <mergeCell ref="BD128:BE128"/>
    <mergeCell ref="BN128:BP128"/>
    <mergeCell ref="A129:L129"/>
    <mergeCell ref="M129:O129"/>
    <mergeCell ref="P129:T129"/>
    <mergeCell ref="U129:W129"/>
    <mergeCell ref="X129:AA129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T127:AV127"/>
    <mergeCell ref="AW127:AX127"/>
    <mergeCell ref="AY127:AZ127"/>
    <mergeCell ref="BA127:BC127"/>
    <mergeCell ref="BD127:BE127"/>
    <mergeCell ref="BN127:BP127"/>
    <mergeCell ref="AB127:AD127"/>
    <mergeCell ref="AG127:AI127"/>
    <mergeCell ref="AJ127:AK127"/>
    <mergeCell ref="AL127:AM127"/>
    <mergeCell ref="AN127:AO127"/>
    <mergeCell ref="AP127:AR127"/>
    <mergeCell ref="AW126:AX126"/>
    <mergeCell ref="AY126:AZ126"/>
    <mergeCell ref="BA126:BC126"/>
    <mergeCell ref="BD126:BE126"/>
    <mergeCell ref="BN126:BP126"/>
    <mergeCell ref="A127:L127"/>
    <mergeCell ref="M127:O127"/>
    <mergeCell ref="P127:T127"/>
    <mergeCell ref="U127:W127"/>
    <mergeCell ref="X127:AA127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T125:AV125"/>
    <mergeCell ref="AW125:AX125"/>
    <mergeCell ref="AY125:AZ125"/>
    <mergeCell ref="BA125:BC125"/>
    <mergeCell ref="BD125:BE125"/>
    <mergeCell ref="BN125:BP125"/>
    <mergeCell ref="AB125:AD125"/>
    <mergeCell ref="AG125:AI125"/>
    <mergeCell ref="AJ125:AK125"/>
    <mergeCell ref="AL125:AM125"/>
    <mergeCell ref="AN125:AO125"/>
    <mergeCell ref="AP125:AR125"/>
    <mergeCell ref="AW124:AX124"/>
    <mergeCell ref="AY124:AZ124"/>
    <mergeCell ref="BA124:BC124"/>
    <mergeCell ref="BD124:BE124"/>
    <mergeCell ref="BN124:BP124"/>
    <mergeCell ref="A125:L125"/>
    <mergeCell ref="M125:O125"/>
    <mergeCell ref="P125:T125"/>
    <mergeCell ref="U125:W125"/>
    <mergeCell ref="X125:AA125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T123:AV123"/>
    <mergeCell ref="AW123:AX123"/>
    <mergeCell ref="AY123:AZ123"/>
    <mergeCell ref="BA123:BC123"/>
    <mergeCell ref="BD123:BE123"/>
    <mergeCell ref="BN123:BP123"/>
    <mergeCell ref="AB123:AD123"/>
    <mergeCell ref="AG123:AI123"/>
    <mergeCell ref="AJ123:AK123"/>
    <mergeCell ref="AL123:AM123"/>
    <mergeCell ref="AN123:AO123"/>
    <mergeCell ref="AP123:AR123"/>
    <mergeCell ref="AW122:AX122"/>
    <mergeCell ref="AY122:AZ122"/>
    <mergeCell ref="BA122:BC122"/>
    <mergeCell ref="BD122:BE122"/>
    <mergeCell ref="BN122:BP122"/>
    <mergeCell ref="A123:L123"/>
    <mergeCell ref="M123:O123"/>
    <mergeCell ref="P123:T123"/>
    <mergeCell ref="U123:W123"/>
    <mergeCell ref="X123:AA123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T121:AV121"/>
    <mergeCell ref="AW121:AX121"/>
    <mergeCell ref="AY121:AZ121"/>
    <mergeCell ref="BA121:BC121"/>
    <mergeCell ref="BD121:BE121"/>
    <mergeCell ref="BN121:BP121"/>
    <mergeCell ref="AB121:AD121"/>
    <mergeCell ref="AG121:AI121"/>
    <mergeCell ref="AJ121:AK121"/>
    <mergeCell ref="AL121:AM121"/>
    <mergeCell ref="AN121:AO121"/>
    <mergeCell ref="AP121:AR121"/>
    <mergeCell ref="AW120:AX120"/>
    <mergeCell ref="AY120:AZ120"/>
    <mergeCell ref="BA120:BC120"/>
    <mergeCell ref="BD120:BE120"/>
    <mergeCell ref="BN120:BP120"/>
    <mergeCell ref="A121:L121"/>
    <mergeCell ref="M121:O121"/>
    <mergeCell ref="P121:T121"/>
    <mergeCell ref="U121:W121"/>
    <mergeCell ref="X121:AA121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T119:AV119"/>
    <mergeCell ref="AW119:AX119"/>
    <mergeCell ref="AY119:AZ119"/>
    <mergeCell ref="BA119:BC119"/>
    <mergeCell ref="BD119:BE119"/>
    <mergeCell ref="BN119:BP119"/>
    <mergeCell ref="AB119:AD119"/>
    <mergeCell ref="AG119:AI119"/>
    <mergeCell ref="AJ119:AK119"/>
    <mergeCell ref="AL119:AM119"/>
    <mergeCell ref="AN119:AO119"/>
    <mergeCell ref="AP119:AR119"/>
    <mergeCell ref="AW118:AX118"/>
    <mergeCell ref="AY118:AZ118"/>
    <mergeCell ref="BA118:BC118"/>
    <mergeCell ref="BD118:BE118"/>
    <mergeCell ref="BN118:BP118"/>
    <mergeCell ref="A119:L119"/>
    <mergeCell ref="M119:O119"/>
    <mergeCell ref="P119:T119"/>
    <mergeCell ref="U119:W119"/>
    <mergeCell ref="X119:AA119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T117:AV117"/>
    <mergeCell ref="AW117:AX117"/>
    <mergeCell ref="AY117:AZ117"/>
    <mergeCell ref="BA117:BC117"/>
    <mergeCell ref="BD117:BE117"/>
    <mergeCell ref="BN117:BP117"/>
    <mergeCell ref="AB117:AD117"/>
    <mergeCell ref="AG117:AI117"/>
    <mergeCell ref="AJ117:AK117"/>
    <mergeCell ref="AL117:AM117"/>
    <mergeCell ref="AN117:AO117"/>
    <mergeCell ref="AP117:AR117"/>
    <mergeCell ref="AW116:AX116"/>
    <mergeCell ref="AY116:AZ116"/>
    <mergeCell ref="BA116:BC116"/>
    <mergeCell ref="BD116:BE116"/>
    <mergeCell ref="BN116:BP116"/>
    <mergeCell ref="A117:L117"/>
    <mergeCell ref="M117:O117"/>
    <mergeCell ref="P117:T117"/>
    <mergeCell ref="U117:W117"/>
    <mergeCell ref="X117:AA117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T115:AV115"/>
    <mergeCell ref="AW115:AX115"/>
    <mergeCell ref="AY115:AZ115"/>
    <mergeCell ref="BA115:BC115"/>
    <mergeCell ref="BD115:BE115"/>
    <mergeCell ref="BN115:BP115"/>
    <mergeCell ref="AB115:AD115"/>
    <mergeCell ref="AG115:AI115"/>
    <mergeCell ref="AJ115:AK115"/>
    <mergeCell ref="AL115:AM115"/>
    <mergeCell ref="AN115:AO115"/>
    <mergeCell ref="AP115:AR115"/>
    <mergeCell ref="AW114:AX114"/>
    <mergeCell ref="AY114:AZ114"/>
    <mergeCell ref="BA114:BC114"/>
    <mergeCell ref="BD114:BE114"/>
    <mergeCell ref="BN114:BP114"/>
    <mergeCell ref="A115:L115"/>
    <mergeCell ref="M115:O115"/>
    <mergeCell ref="P115:T115"/>
    <mergeCell ref="U115:W115"/>
    <mergeCell ref="X115:AA115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T113:AV113"/>
    <mergeCell ref="AW113:AX113"/>
    <mergeCell ref="AY113:AZ113"/>
    <mergeCell ref="BA113:BC113"/>
    <mergeCell ref="BD113:BE113"/>
    <mergeCell ref="BN113:BP113"/>
    <mergeCell ref="AB113:AD113"/>
    <mergeCell ref="AG113:AI113"/>
    <mergeCell ref="AJ113:AK113"/>
    <mergeCell ref="AL113:AM113"/>
    <mergeCell ref="AN113:AO113"/>
    <mergeCell ref="AP113:AR113"/>
    <mergeCell ref="AW112:AX112"/>
    <mergeCell ref="AY112:AZ112"/>
    <mergeCell ref="BA112:BC112"/>
    <mergeCell ref="BD112:BE112"/>
    <mergeCell ref="BN112:BP112"/>
    <mergeCell ref="A113:L113"/>
    <mergeCell ref="M113:O113"/>
    <mergeCell ref="P113:T113"/>
    <mergeCell ref="U113:W113"/>
    <mergeCell ref="X113:AA113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T111:AV111"/>
    <mergeCell ref="AW111:AX111"/>
    <mergeCell ref="AY111:AZ111"/>
    <mergeCell ref="BA111:BC111"/>
    <mergeCell ref="BD111:BE111"/>
    <mergeCell ref="BN111:BP111"/>
    <mergeCell ref="AB111:AD111"/>
    <mergeCell ref="AG111:AI111"/>
    <mergeCell ref="AJ111:AK111"/>
    <mergeCell ref="AL111:AM111"/>
    <mergeCell ref="AN111:AO111"/>
    <mergeCell ref="AP111:AR111"/>
    <mergeCell ref="AW110:AX110"/>
    <mergeCell ref="AY110:AZ110"/>
    <mergeCell ref="BA110:BC110"/>
    <mergeCell ref="BD110:BE110"/>
    <mergeCell ref="BN110:BP110"/>
    <mergeCell ref="A111:L111"/>
    <mergeCell ref="M111:O111"/>
    <mergeCell ref="P111:T111"/>
    <mergeCell ref="U111:W111"/>
    <mergeCell ref="X111:AA111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T109:AV109"/>
    <mergeCell ref="AW109:AX109"/>
    <mergeCell ref="AY109:AZ109"/>
    <mergeCell ref="BA109:BC109"/>
    <mergeCell ref="BD109:BE109"/>
    <mergeCell ref="BN109:BP109"/>
    <mergeCell ref="AB109:AD109"/>
    <mergeCell ref="AG109:AI109"/>
    <mergeCell ref="AJ109:AK109"/>
    <mergeCell ref="AL109:AM109"/>
    <mergeCell ref="AN109:AO109"/>
    <mergeCell ref="AP109:AR109"/>
    <mergeCell ref="AW108:AX108"/>
    <mergeCell ref="AY108:AZ108"/>
    <mergeCell ref="BA108:BC108"/>
    <mergeCell ref="BD108:BE108"/>
    <mergeCell ref="BN108:BP108"/>
    <mergeCell ref="A109:L109"/>
    <mergeCell ref="M109:O109"/>
    <mergeCell ref="P109:T109"/>
    <mergeCell ref="U109:W109"/>
    <mergeCell ref="X109:AA109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T107:AV107"/>
    <mergeCell ref="AW107:AX107"/>
    <mergeCell ref="AY107:AZ107"/>
    <mergeCell ref="BA107:BC107"/>
    <mergeCell ref="BD107:BE107"/>
    <mergeCell ref="BN107:BP107"/>
    <mergeCell ref="AB107:AD107"/>
    <mergeCell ref="AG107:AI107"/>
    <mergeCell ref="AJ107:AK107"/>
    <mergeCell ref="AL107:AM107"/>
    <mergeCell ref="AN107:AO107"/>
    <mergeCell ref="AP107:AR107"/>
    <mergeCell ref="AW106:AX106"/>
    <mergeCell ref="AY106:AZ106"/>
    <mergeCell ref="BA106:BC106"/>
    <mergeCell ref="BD106:BE106"/>
    <mergeCell ref="BN106:BP106"/>
    <mergeCell ref="A107:L107"/>
    <mergeCell ref="M107:O107"/>
    <mergeCell ref="P107:T107"/>
    <mergeCell ref="U107:W107"/>
    <mergeCell ref="X107:AA107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T105:AV105"/>
    <mergeCell ref="AW105:AX105"/>
    <mergeCell ref="AY105:AZ105"/>
    <mergeCell ref="BA105:BC105"/>
    <mergeCell ref="BD105:BE105"/>
    <mergeCell ref="BN105:BP105"/>
    <mergeCell ref="AB105:AD105"/>
    <mergeCell ref="AG105:AI105"/>
    <mergeCell ref="AJ105:AK105"/>
    <mergeCell ref="AL105:AM105"/>
    <mergeCell ref="AN105:AO105"/>
    <mergeCell ref="AP105:AR105"/>
    <mergeCell ref="AW104:AX104"/>
    <mergeCell ref="AY104:AZ104"/>
    <mergeCell ref="BA104:BC104"/>
    <mergeCell ref="BD104:BE104"/>
    <mergeCell ref="BN104:BP104"/>
    <mergeCell ref="A105:L105"/>
    <mergeCell ref="M105:O105"/>
    <mergeCell ref="P105:T105"/>
    <mergeCell ref="U105:W105"/>
    <mergeCell ref="X105:AA105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T103:AV103"/>
    <mergeCell ref="AW103:AX103"/>
    <mergeCell ref="AY103:AZ103"/>
    <mergeCell ref="BA103:BC103"/>
    <mergeCell ref="BD103:BE103"/>
    <mergeCell ref="BN103:BP103"/>
    <mergeCell ref="AB103:AD103"/>
    <mergeCell ref="AG103:AI103"/>
    <mergeCell ref="AJ103:AK103"/>
    <mergeCell ref="AL103:AM103"/>
    <mergeCell ref="AN103:AO103"/>
    <mergeCell ref="AP103:AR103"/>
    <mergeCell ref="AW102:AX102"/>
    <mergeCell ref="AY102:AZ102"/>
    <mergeCell ref="BA102:BC102"/>
    <mergeCell ref="BD102:BE102"/>
    <mergeCell ref="BN102:BP102"/>
    <mergeCell ref="A103:L103"/>
    <mergeCell ref="M103:O103"/>
    <mergeCell ref="P103:T103"/>
    <mergeCell ref="U103:W103"/>
    <mergeCell ref="X103:AA103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T101:AV101"/>
    <mergeCell ref="AW101:AX101"/>
    <mergeCell ref="AY101:AZ101"/>
    <mergeCell ref="BA101:BC101"/>
    <mergeCell ref="BD101:BE101"/>
    <mergeCell ref="BN101:BP101"/>
    <mergeCell ref="AB101:AD101"/>
    <mergeCell ref="AG101:AI101"/>
    <mergeCell ref="AJ101:AK101"/>
    <mergeCell ref="AL101:AM101"/>
    <mergeCell ref="AN101:AO101"/>
    <mergeCell ref="AP101:AR101"/>
    <mergeCell ref="AW100:AX100"/>
    <mergeCell ref="AY100:AZ100"/>
    <mergeCell ref="BA100:BC100"/>
    <mergeCell ref="BD100:BE100"/>
    <mergeCell ref="BN100:BP100"/>
    <mergeCell ref="A101:L101"/>
    <mergeCell ref="M101:O101"/>
    <mergeCell ref="P101:T101"/>
    <mergeCell ref="U101:W101"/>
    <mergeCell ref="X101:AA101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T99:AV99"/>
    <mergeCell ref="AW99:AX99"/>
    <mergeCell ref="AY99:AZ99"/>
    <mergeCell ref="BA99:BC99"/>
    <mergeCell ref="BD99:BE99"/>
    <mergeCell ref="BN99:BP99"/>
    <mergeCell ref="AB99:AD99"/>
    <mergeCell ref="AG99:AI99"/>
    <mergeCell ref="AJ99:AK99"/>
    <mergeCell ref="AL99:AM99"/>
    <mergeCell ref="AN99:AO99"/>
    <mergeCell ref="AP99:AR99"/>
    <mergeCell ref="AW98:AX98"/>
    <mergeCell ref="AY98:AZ98"/>
    <mergeCell ref="BA98:BC98"/>
    <mergeCell ref="BD98:BE98"/>
    <mergeCell ref="BN98:BP98"/>
    <mergeCell ref="A99:L99"/>
    <mergeCell ref="M99:O99"/>
    <mergeCell ref="P99:T99"/>
    <mergeCell ref="U99:W99"/>
    <mergeCell ref="X99:AA99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T97:AV97"/>
    <mergeCell ref="AW97:AX97"/>
    <mergeCell ref="AY97:AZ97"/>
    <mergeCell ref="BA97:BC97"/>
    <mergeCell ref="BD97:BE97"/>
    <mergeCell ref="BN97:BP97"/>
    <mergeCell ref="AB97:AD97"/>
    <mergeCell ref="AG97:AI97"/>
    <mergeCell ref="AJ97:AK97"/>
    <mergeCell ref="AL97:AM97"/>
    <mergeCell ref="AN97:AO97"/>
    <mergeCell ref="AP97:AR97"/>
    <mergeCell ref="AW96:AX96"/>
    <mergeCell ref="AY96:AZ96"/>
    <mergeCell ref="BA96:BC96"/>
    <mergeCell ref="BD96:BE96"/>
    <mergeCell ref="BN96:BP96"/>
    <mergeCell ref="A97:L97"/>
    <mergeCell ref="M97:O97"/>
    <mergeCell ref="P97:T97"/>
    <mergeCell ref="U97:W97"/>
    <mergeCell ref="X97:AA97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T95:AV95"/>
    <mergeCell ref="AW95:AX95"/>
    <mergeCell ref="AY95:AZ95"/>
    <mergeCell ref="BA95:BC95"/>
    <mergeCell ref="BD95:BE95"/>
    <mergeCell ref="BN95:BP95"/>
    <mergeCell ref="AB95:AD95"/>
    <mergeCell ref="AG95:AI95"/>
    <mergeCell ref="AJ95:AK95"/>
    <mergeCell ref="AL95:AM95"/>
    <mergeCell ref="AN95:AO95"/>
    <mergeCell ref="AP95:AR95"/>
    <mergeCell ref="AW94:AX94"/>
    <mergeCell ref="AY94:AZ94"/>
    <mergeCell ref="BA94:BC94"/>
    <mergeCell ref="BD94:BE94"/>
    <mergeCell ref="BN94:BP94"/>
    <mergeCell ref="A95:L95"/>
    <mergeCell ref="M95:O95"/>
    <mergeCell ref="P95:T95"/>
    <mergeCell ref="U95:W95"/>
    <mergeCell ref="X95:AA95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T93:AV93"/>
    <mergeCell ref="AW93:AX93"/>
    <mergeCell ref="AY93:AZ93"/>
    <mergeCell ref="BA93:BC93"/>
    <mergeCell ref="BD93:BE93"/>
    <mergeCell ref="BN93:BP93"/>
    <mergeCell ref="AB93:AD93"/>
    <mergeCell ref="AG93:AI93"/>
    <mergeCell ref="AJ93:AK93"/>
    <mergeCell ref="AL93:AM93"/>
    <mergeCell ref="AN93:AO93"/>
    <mergeCell ref="AP93:AR93"/>
    <mergeCell ref="AW92:AX92"/>
    <mergeCell ref="AY92:AZ92"/>
    <mergeCell ref="BA92:BC92"/>
    <mergeCell ref="BD92:BE92"/>
    <mergeCell ref="BN92:BP92"/>
    <mergeCell ref="A93:L93"/>
    <mergeCell ref="M93:O93"/>
    <mergeCell ref="P93:T93"/>
    <mergeCell ref="U93:W93"/>
    <mergeCell ref="X93:AA93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T91:AV91"/>
    <mergeCell ref="AW91:AX91"/>
    <mergeCell ref="AY91:AZ91"/>
    <mergeCell ref="BA91:BC91"/>
    <mergeCell ref="BD91:BE91"/>
    <mergeCell ref="BN91:BP91"/>
    <mergeCell ref="AB91:AD91"/>
    <mergeCell ref="AG91:AI91"/>
    <mergeCell ref="AJ91:AK91"/>
    <mergeCell ref="AL91:AM91"/>
    <mergeCell ref="AN91:AO91"/>
    <mergeCell ref="AP91:AR91"/>
    <mergeCell ref="AW90:AX90"/>
    <mergeCell ref="AY90:AZ90"/>
    <mergeCell ref="BA90:BC90"/>
    <mergeCell ref="BD90:BE90"/>
    <mergeCell ref="BN90:BP90"/>
    <mergeCell ref="A91:L91"/>
    <mergeCell ref="M91:O91"/>
    <mergeCell ref="P91:T91"/>
    <mergeCell ref="U91:W91"/>
    <mergeCell ref="X91:AA91"/>
    <mergeCell ref="AG90:AI90"/>
    <mergeCell ref="AJ90:AK90"/>
    <mergeCell ref="AL90:AM90"/>
    <mergeCell ref="AN90:AO90"/>
    <mergeCell ref="AP90:AR90"/>
    <mergeCell ref="AT90:AV90"/>
    <mergeCell ref="A90:L90"/>
    <mergeCell ref="M90:O90"/>
    <mergeCell ref="P90:T90"/>
    <mergeCell ref="U90:W90"/>
    <mergeCell ref="X90:AA90"/>
    <mergeCell ref="AB90:AD90"/>
    <mergeCell ref="AT89:AV89"/>
    <mergeCell ref="AW89:AX89"/>
    <mergeCell ref="AY89:AZ89"/>
    <mergeCell ref="BA89:BC89"/>
    <mergeCell ref="BD89:BE89"/>
    <mergeCell ref="BN89:BP89"/>
    <mergeCell ref="AB89:AD89"/>
    <mergeCell ref="AG89:AI89"/>
    <mergeCell ref="AJ89:AK89"/>
    <mergeCell ref="AL89:AM89"/>
    <mergeCell ref="AN89:AO89"/>
    <mergeCell ref="AP89:AR89"/>
    <mergeCell ref="AW88:AX88"/>
    <mergeCell ref="AY88:AZ88"/>
    <mergeCell ref="BA88:BC88"/>
    <mergeCell ref="BD88:BE88"/>
    <mergeCell ref="BN88:BP88"/>
    <mergeCell ref="A89:L89"/>
    <mergeCell ref="M89:O89"/>
    <mergeCell ref="P89:T89"/>
    <mergeCell ref="U89:W89"/>
    <mergeCell ref="X89:AA89"/>
    <mergeCell ref="AG88:AI88"/>
    <mergeCell ref="AJ88:AK88"/>
    <mergeCell ref="AL88:AM88"/>
    <mergeCell ref="AN88:AO88"/>
    <mergeCell ref="AP88:AR88"/>
    <mergeCell ref="AT88:AV88"/>
    <mergeCell ref="A88:L88"/>
    <mergeCell ref="M88:O88"/>
    <mergeCell ref="P88:T88"/>
    <mergeCell ref="U88:W88"/>
    <mergeCell ref="X88:AA88"/>
    <mergeCell ref="AB88:AD88"/>
    <mergeCell ref="AT87:AV87"/>
    <mergeCell ref="AW87:AX87"/>
    <mergeCell ref="AY87:AZ87"/>
    <mergeCell ref="BA87:BC87"/>
    <mergeCell ref="BD87:BE87"/>
    <mergeCell ref="BN87:BP87"/>
    <mergeCell ref="AB87:AD87"/>
    <mergeCell ref="AG87:AI87"/>
    <mergeCell ref="AJ87:AK87"/>
    <mergeCell ref="AL87:AM87"/>
    <mergeCell ref="AN87:AO87"/>
    <mergeCell ref="AP87:AR87"/>
    <mergeCell ref="AW86:AX86"/>
    <mergeCell ref="AY86:AZ86"/>
    <mergeCell ref="BA86:BC86"/>
    <mergeCell ref="BD86:BE86"/>
    <mergeCell ref="BN86:BP86"/>
    <mergeCell ref="A87:L87"/>
    <mergeCell ref="M87:O87"/>
    <mergeCell ref="P87:T87"/>
    <mergeCell ref="U87:W87"/>
    <mergeCell ref="X87:AA87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T85:AV85"/>
    <mergeCell ref="AW85:AX85"/>
    <mergeCell ref="AY85:AZ85"/>
    <mergeCell ref="BA85:BC85"/>
    <mergeCell ref="BD85:BE85"/>
    <mergeCell ref="BN85:BP85"/>
    <mergeCell ref="AB85:AD85"/>
    <mergeCell ref="AG85:AI85"/>
    <mergeCell ref="AJ85:AK85"/>
    <mergeCell ref="AL85:AM85"/>
    <mergeCell ref="AN85:AO85"/>
    <mergeCell ref="AP85:AR85"/>
    <mergeCell ref="AW84:AX84"/>
    <mergeCell ref="AY84:AZ84"/>
    <mergeCell ref="BA84:BC84"/>
    <mergeCell ref="BD84:BE84"/>
    <mergeCell ref="BN84:BP84"/>
    <mergeCell ref="A85:L85"/>
    <mergeCell ref="M85:O85"/>
    <mergeCell ref="P85:T85"/>
    <mergeCell ref="U85:W85"/>
    <mergeCell ref="X85:AA85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T83:AV83"/>
    <mergeCell ref="AW83:AX83"/>
    <mergeCell ref="AY83:AZ83"/>
    <mergeCell ref="BA83:BC83"/>
    <mergeCell ref="BD83:BE83"/>
    <mergeCell ref="BN83:BP83"/>
    <mergeCell ref="AB83:AD83"/>
    <mergeCell ref="AG83:AI83"/>
    <mergeCell ref="AJ83:AK83"/>
    <mergeCell ref="AL83:AM83"/>
    <mergeCell ref="AN83:AO83"/>
    <mergeCell ref="AP83:AR83"/>
    <mergeCell ref="AW82:AX82"/>
    <mergeCell ref="AY82:AZ82"/>
    <mergeCell ref="BA82:BC82"/>
    <mergeCell ref="BD82:BE82"/>
    <mergeCell ref="BN82:BP82"/>
    <mergeCell ref="A83:L83"/>
    <mergeCell ref="M83:O83"/>
    <mergeCell ref="P83:T83"/>
    <mergeCell ref="U83:W83"/>
    <mergeCell ref="X83:AA83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T81:AV81"/>
    <mergeCell ref="AW81:AX81"/>
    <mergeCell ref="AY81:AZ81"/>
    <mergeCell ref="BA81:BC81"/>
    <mergeCell ref="BD81:BE81"/>
    <mergeCell ref="BN81:BP81"/>
    <mergeCell ref="AB81:AD81"/>
    <mergeCell ref="AG81:AI81"/>
    <mergeCell ref="AJ81:AK81"/>
    <mergeCell ref="AL81:AM81"/>
    <mergeCell ref="AN81:AO81"/>
    <mergeCell ref="AP81:AR81"/>
    <mergeCell ref="AW80:AX80"/>
    <mergeCell ref="AY80:AZ80"/>
    <mergeCell ref="BA80:BC80"/>
    <mergeCell ref="BD80:BE80"/>
    <mergeCell ref="BN80:BP80"/>
    <mergeCell ref="A81:L81"/>
    <mergeCell ref="M81:O81"/>
    <mergeCell ref="P81:T81"/>
    <mergeCell ref="U81:W81"/>
    <mergeCell ref="X81:AA81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8:BQ78"/>
    <mergeCell ref="AY79:AZ79"/>
    <mergeCell ref="BA79:BC79"/>
    <mergeCell ref="BD79:BE79"/>
    <mergeCell ref="BN79:BP79"/>
    <mergeCell ref="AG79:AI79"/>
    <mergeCell ref="AJ79:AK79"/>
    <mergeCell ref="AL79:AM79"/>
    <mergeCell ref="AN79:AO79"/>
    <mergeCell ref="AP79:AR79"/>
    <mergeCell ref="AT79:AV79"/>
    <mergeCell ref="A76:L76"/>
    <mergeCell ref="M76:BQ76"/>
    <mergeCell ref="A77:BQ77"/>
    <mergeCell ref="A78:L79"/>
    <mergeCell ref="M78:O79"/>
    <mergeCell ref="P78:T79"/>
    <mergeCell ref="U78:AX78"/>
    <mergeCell ref="U79:W79"/>
    <mergeCell ref="X79:AA79"/>
    <mergeCell ref="AB79:AD79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09" max="255" man="1"/>
    <brk id="228" max="255" man="1"/>
    <brk id="228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2020-12-21T08:17:40Z</dcterms:created>
  <dcterms:modified xsi:type="dcterms:W3CDTF">2020-12-21T08:17:40Z</dcterms:modified>
  <cp:category/>
  <cp:version/>
  <cp:contentType/>
  <cp:contentStatus/>
</cp:coreProperties>
</file>