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<sst xmlns="http://schemas.openxmlformats.org/spreadsheetml/2006/main" count="7343" uniqueCount="573">
  <si>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</si>
  <si>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</si>
  <si>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</si>
  <si>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</si>
  <si>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сентября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</si>
  <si>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</si>
  <si>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</si>
  <si>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</si>
  <si>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</si>
  <si>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</si>
  <si>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</si>
  <si>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</si>
  <si>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</si>
  <si>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</si>
  <si>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</si>
  <si>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</si>
  <si>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</si>
  <si>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</si>
  <si>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</si>
  <si>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</si>
  <si>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</si>
  <si>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</si>
  <si>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</si>
  <si>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</si>
  <si>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</si>
  <si>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</si>
  <si>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</si>
  <si>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</si>
  <si>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</si>
  <si>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</si>
  <si>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</si>
  <si>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</si>
  <si>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</si>
  <si>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</si>
  <si>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</si>
  <si>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</si>
  <si>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</si>
  <si>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</si>
  <si>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</si>
  <si>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</si>
  <si>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</si>
  <si>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</si>
  <si>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</si>
  <si>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</si>
  <si>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</si>
  <si>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</si>
  <si>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</si>
  <si>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</si>
  <si>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</si>
  <si>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</si>
  <si>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</si>
  <si>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</si>
  <si>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</si>
  <si>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</si>
  <si>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</si>
  <si>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</si>
  <si>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</si>
  <si>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</si>
  <si>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</si>
  <si>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</si>
  <si>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</si>
  <si>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</si>
  <si>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</si>
  <si>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</si>
  <si>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</si>
  <si>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</si>
  <si>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</si>
  <si>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</si>
  <si>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</si>
  <si>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</si>
  <si>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</si>
  <si>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</si>
  <si>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</si>
  <si>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</si>
  <si>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</si>
  <si>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</si>
  <si>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</si>
  <si>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</si>
  <si>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</si>
  <si>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</si>
  <si>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</si>
  <si>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</si>
  <si>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</si>
  <si>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</si>
  <si>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</si>
  <si>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</si>
  <si>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</si>
  <si>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</si>
  <si>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</si>
  <si>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</si>
  <si>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</si>
  <si>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</si>
  <si>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</si>
  <si>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</si>
  <si>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</si>
  <si>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</si>
  <si>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</si>
  <si>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</si>
  <si>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</si>
  <si>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</si>
  <si>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</si>
  <si>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</si>
  <si>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</si>
  <si>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</si>
  <si>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</si>
  <si>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</si>
  <si>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</si>
  <si>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</si>
  <si>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</si>
  <si>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</si>
  <si>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</si>
  <si>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</si>
  <si>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</si>
  <si>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</si>
  <si>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</si>
  <si>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</si>
  <si>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</si>
  <si>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</si>
  <si>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</si>
  <si>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</si>
  <si>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</si>
  <si>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</si>
  <si>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</si>
  <si>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</si>
  <si>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</si>
  <si>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</si>
  <si>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</si>
  <si>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</si>
  <si>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</si>
  <si>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</si>
  <si>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</si>
  <si>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</si>
  <si>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</si>
  <si>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</si>
  <si>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</si>
  <si>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</si>
  <si>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</si>
  <si>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</si>
  <si>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</si>
  <si>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</si>
  <si>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</si>
  <si>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</si>
  <si>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</si>
  <si>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</si>
  <si>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</si>
  <si>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</si>
  <si>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</si>
  <si>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</si>
  <si>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</si>
  <si>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</si>
  <si>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</si>
  <si>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</si>
  <si>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</si>
  <si>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</si>
  <si>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</si>
  <si>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</si>
  <si>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</si>
  <si>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</si>
  <si>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</si>
  <si>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</si>
  <si>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</si>
  <si>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</si>
  <si>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</si>
  <si>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</si>
  <si>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</si>
  <si>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</si>
  <si>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</si>
  <si>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</si>
  <si>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</si>
  <si>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</si>
  <si>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</si>
  <si>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</si>
  <si>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</si>
  <si>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</si>
  <si>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</si>
  <si>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</si>
  <si>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</si>
  <si>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</si>
  <si>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</si>
  <si>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</si>
  <si>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</si>
  <si>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</si>
  <si>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</si>
  <si>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</si>
  <si>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</si>
  <si>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</si>
  <si>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</si>
  <si>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</si>
  <si>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</si>
  <si>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</si>
  <si>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</si>
  <si>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</si>
  <si>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</si>
  <si>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</si>
  <si>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</si>
  <si>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</si>
  <si>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</si>
  <si>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</si>
  <si>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</si>
  <si>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</si>
  <si>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</si>
  <si>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</si>
  <si>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</si>
  <si>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</si>
  <si>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</si>
  <si>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</si>
  <si>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</si>
  <si>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</si>
  <si>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</si>
  <si>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</si>
  <si>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</si>
  <si>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</si>
  <si>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</si>
  <si>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</si>
  <si>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</si>
  <si>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</si>
  <si>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</si>
  <si>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</si>
  <si>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</si>
  <si>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</si>
  <si>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</si>
  <si>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</si>
  <si>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</si>
  <si>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</si>
  <si>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</si>
  <si>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</si>
  <si>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</si>
  <si>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</si>
  <si>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</si>
  <si>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</si>
  <si>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</si>
  <si>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</si>
  <si>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</si>
  <si>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</si>
  <si>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</si>
  <si>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</si>
  <si>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</si>
  <si>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</si>
  <si>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</si>
  <si>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</si>
  <si>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</si>
  <si>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</si>
  <si>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</si>
  <si>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</si>
  <si>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</si>
  <si>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</si>
  <si>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</si>
  <si>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</si>
  <si>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</si>
  <si>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</si>
  <si>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</si>
  <si>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</si>
  <si>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</si>
  <si>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</si>
  <si>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</si>
  <si>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</si>
  <si>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</si>
  <si>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</si>
  <si>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</si>
  <si>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</si>
  <si>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</si>
  <si>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</si>
  <si>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</si>
  <si>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</si>
  <si>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</si>
  <si>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</si>
  <si>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</si>
  <si>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</si>
  <si>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</si>
  <si>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</si>
  <si>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</si>
  <si>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</si>
  <si>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</si>
  <si>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</si>
  <si>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000 0113 0000000000 500</t>
  </si>
  <si>
    <t>000 0113 0000000000 540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</si>
  <si>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</si>
  <si>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</si>
  <si>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</si>
  <si>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</si>
  <si>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</si>
  <si>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</si>
  <si>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</si>
  <si>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</si>
  <si>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</si>
  <si>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</si>
  <si>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</si>
  <si>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</si>
  <si>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</si>
  <si>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</si>
  <si>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</si>
  <si>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</si>
  <si>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</si>
  <si>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</si>
  <si>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</si>
  <si>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</si>
  <si>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</si>
  <si>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</si>
  <si>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</si>
  <si>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</si>
  <si>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</si>
  <si>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</si>
  <si>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</si>
  <si>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</si>
  <si>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</si>
  <si>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</si>
  <si>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</si>
  <si>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</si>
  <si>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</si>
  <si>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</si>
  <si>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</si>
  <si>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</si>
  <si>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</si>
  <si>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</si>
  <si>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</si>
  <si>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</si>
  <si>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</si>
  <si>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</si>
  <si>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</si>
  <si>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</si>
  <si>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</si>
  <si>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</si>
  <si>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</si>
  <si>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</si>
  <si>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</si>
  <si>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</si>
  <si>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</si>
  <si>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</si>
  <si>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</si>
  <si>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</si>
  <si>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</si>
  <si>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</si>
  <si>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</si>
  <si>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</si>
  <si>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</si>
  <si>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</si>
  <si>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</si>
  <si>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</si>
  <si>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</si>
  <si>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</si>
  <si>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</si>
  <si>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</si>
  <si>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</si>
  <si>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</si>
  <si>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</si>
  <si>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</si>
  <si>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</si>
  <si>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</si>
  <si>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</si>
  <si>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</si>
  <si>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</si>
  <si>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</si>
  <si>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</si>
  <si>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</si>
  <si>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</si>
  <si>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</si>
  <si>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</si>
  <si>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</si>
  <si>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</si>
  <si>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</si>
  <si>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</si>
  <si>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</si>
  <si>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</si>
  <si>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</si>
  <si>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</si>
  <si>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</si>
  <si>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</si>
  <si>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</si>
  <si>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</si>
  <si>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</si>
  <si>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</si>
  <si>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</si>
  <si>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</si>
  <si>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</si>
  <si>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</si>
  <si>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</si>
  <si>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</si>
  <si>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</si>
  <si>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</si>
  <si>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000 1006 0000000000 320</t>
  </si>
  <si>
    <t>Пособия, компенсации и иные социальные выплаты гражданам, кроме публичных нормативных обязательств</t>
  </si>
  <si>
    <t>000 1006 0000000000 321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</si>
  <si>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</si>
  <si>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</si>
  <si>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</si>
  <si>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</si>
  <si>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</si>
  <si>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</si>
  <si>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</si>
  <si>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</si>
  <si>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</si>
  <si>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</si>
  <si>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</si>
  <si>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</si>
  <si>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</si>
  <si>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</si>
  <si>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</si>
  <si>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</si>
  <si>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</si>
  <si>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</si>
  <si>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</si>
  <si>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</si>
  <si>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</si>
  <si>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</si>
  <si>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</si>
  <si>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</si>
  <si>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</si>
  <si>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</si>
  <si>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</si>
  <si>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</si>
  <si>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</si>
  <si>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</si>
  <si>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</si>
  <si>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</si>
  <si>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</si>
  <si>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</si>
  <si>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</si>
  <si>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</si>
  <si>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</si>
  <si>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</si>
  <si>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</si>
  <si>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</si>
  <si>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</si>
  <si>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</si>
  <si>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</si>
  <si>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</si>
  <si>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</si>
  <si>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</si>
  <si>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</si>
  <si>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</si>
  <si>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</si>
  <si>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</si>
  <si>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</si>
  <si>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</si>
  <si>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</si>
  <si>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</si>
  <si>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</si>
  <si>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</si>
  <si>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</si>
  <si>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</si>
  <si>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</si>
  <si>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</si>
  <si>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</si>
  <si>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</si>
  <si>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</si>
  <si>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</si>
  <si>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</si>
  <si>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</si>
  <si>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</si>
  <si>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</si>
  <si>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</si>
  <si>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</si>
  <si>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</si>
  <si>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</si>
  <si>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</si>
  <si>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</si>
  <si>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</si>
  <si>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</si>
  <si>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</si>
  <si>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</si>
  <si>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</si>
  <si>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</si>
  <si>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</si>
  <si>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</si>
  <si>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</si>
  <si>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</si>
  <si>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</si>
  <si>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</si>
  <si>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</si>
  <si>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</si>
  <si>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</si>
  <si>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</si>
  <si>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</si>
  <si>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</si>
  <si>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</si>
  <si>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</si>
  <si>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</si>
  <si>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</si>
  <si>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</si>
  <si>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</si>
  <si>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</si>
  <si>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</si>
  <si>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</si>
  <si>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</si>
  <si>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</si>
  <si>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</si>
  <si>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</si>
  <si>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</si>
  <si>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</si>
  <si>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</si>
  <si>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</si>
  <si>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</si>
  <si>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</si>
  <si>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</si>
  <si>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</si>
  <si>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</si>
  <si>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</si>
  <si>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</si>
  <si>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</si>
  <si>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</si>
  <si>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</si>
  <si>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</si>
  <si>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</si>
  <si>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</si>
  <si>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</si>
  <si>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</si>
  <si>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</si>
  <si>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</si>
  <si>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</si>
  <si>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</si>
  <si>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</si>
  <si>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</si>
  <si>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</si>
  <si>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</si>
  <si>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</si>
  <si>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</si>
  <si>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</si>
  <si>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</si>
  <si>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</si>
  <si>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</si>
  <si>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</si>
  <si>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</si>
  <si>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</si>
  <si>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</si>
  <si>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</si>
  <si>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</si>
  <si>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</si>
  <si>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</si>
  <si>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</si>
  <si>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</si>
  <si>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</si>
  <si>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</si>
  <si>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</si>
  <si>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</si>
  <si>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</si>
  <si>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</si>
  <si>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</si>
  <si>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</si>
  <si>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</si>
  <si>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</si>
  <si>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</si>
  <si>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</si>
  <si>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</si>
  <si>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</si>
  <si>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</si>
  <si>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</si>
  <si>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</si>
  <si>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</si>
  <si>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</si>
  <si>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</si>
  <si>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</si>
  <si>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</si>
  <si>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</si>
  <si>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</si>
  <si>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</si>
  <si>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</si>
  <si>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</si>
  <si>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</si>
  <si>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</si>
  <si>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</si>
  <si>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</si>
  <si>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</si>
  <si>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</si>
  <si>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</si>
  <si>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</si>
  <si>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</si>
  <si>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</si>
  <si>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</si>
  <si>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</si>
  <si>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</si>
  <si>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</si>
  <si>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6 сентября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</si>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</sst>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4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45170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39466685</f>
        <v>39466685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53391685</f>
        <v>53391685</v>
      </c>
      <c r="AX13" s="18"/>
      <c r="AY13" s="19" t="s">
        <v>74</v>
      </c>
      <c r="AZ13" s="19"/>
      <c r="BA13" s="18">
        <f>8117914.58</f>
        <v>8117914.58</v>
      </c>
      <c r="BB13" s="18"/>
      <c r="BC13" s="18"/>
      <c r="BD13" s="19" t="s">
        <v>74</v>
      </c>
      <c r="BE13" s="19"/>
      <c r="BF13" s="18">
        <f>8117914.58</f>
        <v>8117914.58</v>
      </c>
      <c r="BG13" s="18"/>
      <c r="BH13" s="20">
        <f>24596104.34</f>
        <v>24596104.34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32714018.92</f>
        <v>32714018.92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8117914.58</f>
        <v>8117914.58</v>
      </c>
      <c r="BB14" s="24"/>
      <c r="BC14" s="24"/>
      <c r="BD14" s="25" t="s">
        <v>74</v>
      </c>
      <c r="BE14" s="25"/>
      <c r="BF14" s="24">
        <f>8117914.58</f>
        <v>8117914.58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8117914.58</f>
        <v>8117914.58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1278399.12</f>
        <v>1278399.12</v>
      </c>
      <c r="BB15" s="24"/>
      <c r="BC15" s="24"/>
      <c r="BD15" s="25" t="s">
        <v>74</v>
      </c>
      <c r="BE15" s="25"/>
      <c r="BF15" s="24">
        <f>1278399.12</f>
        <v>1278399.12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1278399.12</f>
        <v>1278399.12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1278399.12</f>
        <v>1278399.12</v>
      </c>
      <c r="BB16" s="24"/>
      <c r="BC16" s="24"/>
      <c r="BD16" s="25" t="s">
        <v>74</v>
      </c>
      <c r="BE16" s="25"/>
      <c r="BF16" s="24">
        <f>1278399.12</f>
        <v>1278399.12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1278399.12</f>
        <v>1278399.12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1169857.97</f>
        <v>1169857.97</v>
      </c>
      <c r="BB17" s="24"/>
      <c r="BC17" s="24"/>
      <c r="BD17" s="25" t="s">
        <v>74</v>
      </c>
      <c r="BE17" s="25"/>
      <c r="BF17" s="24">
        <f>1169857.97</f>
        <v>1169857.97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1169857.97</f>
        <v>1169857.97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3761.23</f>
        <v>3761.23</v>
      </c>
      <c r="BB18" s="24"/>
      <c r="BC18" s="24"/>
      <c r="BD18" s="25" t="s">
        <v>74</v>
      </c>
      <c r="BE18" s="25"/>
      <c r="BF18" s="24">
        <f>3761.23</f>
        <v>3761.23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3761.23</f>
        <v>3761.23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23791.2</f>
        <v>23791.2</v>
      </c>
      <c r="BB19" s="24"/>
      <c r="BC19" s="24"/>
      <c r="BD19" s="25" t="s">
        <v>74</v>
      </c>
      <c r="BE19" s="25"/>
      <c r="BF19" s="24">
        <f>23791.2</f>
        <v>23791.2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23791.2</f>
        <v>23791.2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20758.84</f>
        <v>20758.84</v>
      </c>
      <c r="BB20" s="24"/>
      <c r="BC20" s="24"/>
      <c r="BD20" s="25" t="s">
        <v>74</v>
      </c>
      <c r="BE20" s="25"/>
      <c r="BF20" s="24">
        <f>20758.84</f>
        <v>20758.84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20758.84</f>
        <v>20758.84</v>
      </c>
      <c r="BR20" s="24"/>
      <c r="BS20" s="24"/>
      <c r="BT20" s="27" t="s">
        <v>74</v>
      </c>
    </row>
    <row r="21" spans="1:72" s="1" customFormat="1" ht="4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5" t="s">
        <v>74</v>
      </c>
      <c r="V21" s="25"/>
      <c r="W21" s="25"/>
      <c r="X21" s="25" t="s">
        <v>74</v>
      </c>
      <c r="Y21" s="25"/>
      <c r="Z21" s="25"/>
      <c r="AA21" s="25"/>
      <c r="AB21" s="25" t="s">
        <v>74</v>
      </c>
      <c r="AC21" s="25"/>
      <c r="AD21" s="25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5" t="s">
        <v>74</v>
      </c>
      <c r="AX21" s="25"/>
      <c r="AY21" s="25" t="s">
        <v>74</v>
      </c>
      <c r="AZ21" s="25"/>
      <c r="BA21" s="24">
        <f>46489.28</f>
        <v>46489.28</v>
      </c>
      <c r="BB21" s="24"/>
      <c r="BC21" s="24"/>
      <c r="BD21" s="25" t="s">
        <v>74</v>
      </c>
      <c r="BE21" s="25"/>
      <c r="BF21" s="24">
        <f>46489.28</f>
        <v>46489.28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46489.28</f>
        <v>46489.28</v>
      </c>
      <c r="BR21" s="24"/>
      <c r="BS21" s="24"/>
      <c r="BT21" s="27" t="s">
        <v>74</v>
      </c>
    </row>
    <row r="22" spans="1:72" s="1" customFormat="1" ht="45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5" t="s">
        <v>74</v>
      </c>
      <c r="V22" s="25"/>
      <c r="W22" s="25"/>
      <c r="X22" s="25" t="s">
        <v>74</v>
      </c>
      <c r="Y22" s="25"/>
      <c r="Z22" s="25"/>
      <c r="AA22" s="25"/>
      <c r="AB22" s="25" t="s">
        <v>74</v>
      </c>
      <c r="AC22" s="25"/>
      <c r="AD22" s="25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5" t="s">
        <v>74</v>
      </c>
      <c r="AX22" s="25"/>
      <c r="AY22" s="25" t="s">
        <v>74</v>
      </c>
      <c r="AZ22" s="25"/>
      <c r="BA22" s="24">
        <f>13740.6</f>
        <v>13740.6</v>
      </c>
      <c r="BB22" s="24"/>
      <c r="BC22" s="24"/>
      <c r="BD22" s="25" t="s">
        <v>74</v>
      </c>
      <c r="BE22" s="25"/>
      <c r="BF22" s="24">
        <f>13740.6</f>
        <v>13740.6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13740.6</f>
        <v>13740.6</v>
      </c>
      <c r="BR22" s="24"/>
      <c r="BS22" s="24"/>
      <c r="BT22" s="27" t="s">
        <v>74</v>
      </c>
    </row>
    <row r="23" spans="1:72" s="1" customFormat="1" ht="24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4515000</f>
        <v>4515000</v>
      </c>
      <c r="V23" s="24"/>
      <c r="W23" s="24"/>
      <c r="X23" s="25" t="s">
        <v>74</v>
      </c>
      <c r="Y23" s="25"/>
      <c r="Z23" s="25"/>
      <c r="AA23" s="25"/>
      <c r="AB23" s="24">
        <f>4515000</f>
        <v>4515000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4515000</f>
        <v>4515000</v>
      </c>
      <c r="AX23" s="24"/>
      <c r="AY23" s="25" t="s">
        <v>74</v>
      </c>
      <c r="AZ23" s="25"/>
      <c r="BA23" s="24">
        <f>3446517.62</f>
        <v>3446517.62</v>
      </c>
      <c r="BB23" s="24"/>
      <c r="BC23" s="24"/>
      <c r="BD23" s="25" t="s">
        <v>74</v>
      </c>
      <c r="BE23" s="25"/>
      <c r="BF23" s="24">
        <f>3446517.62</f>
        <v>3446517.62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3446517.62</f>
        <v>3446517.62</v>
      </c>
      <c r="BR23" s="24"/>
      <c r="BS23" s="24"/>
      <c r="BT23" s="27" t="s">
        <v>74</v>
      </c>
    </row>
    <row r="24" spans="1:72" s="1" customFormat="1" ht="24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4515000</f>
        <v>4515000</v>
      </c>
      <c r="V24" s="24"/>
      <c r="W24" s="24"/>
      <c r="X24" s="25" t="s">
        <v>74</v>
      </c>
      <c r="Y24" s="25"/>
      <c r="Z24" s="25"/>
      <c r="AA24" s="25"/>
      <c r="AB24" s="24">
        <f>4515000</f>
        <v>4515000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4515000</f>
        <v>4515000</v>
      </c>
      <c r="AX24" s="24"/>
      <c r="AY24" s="25" t="s">
        <v>74</v>
      </c>
      <c r="AZ24" s="25"/>
      <c r="BA24" s="24">
        <f>3446517.62</f>
        <v>3446517.62</v>
      </c>
      <c r="BB24" s="24"/>
      <c r="BC24" s="24"/>
      <c r="BD24" s="25" t="s">
        <v>74</v>
      </c>
      <c r="BE24" s="25"/>
      <c r="BF24" s="24">
        <f>3446517.62</f>
        <v>3446517.62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3446517.62</f>
        <v>3446517.62</v>
      </c>
      <c r="BR24" s="24"/>
      <c r="BS24" s="24"/>
      <c r="BT24" s="27" t="s">
        <v>74</v>
      </c>
    </row>
    <row r="25" spans="1:72" s="1" customFormat="1" ht="66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2193850</f>
        <v>2193850</v>
      </c>
      <c r="V25" s="24"/>
      <c r="W25" s="24"/>
      <c r="X25" s="25" t="s">
        <v>74</v>
      </c>
      <c r="Y25" s="25"/>
      <c r="Z25" s="25"/>
      <c r="AA25" s="25"/>
      <c r="AB25" s="24">
        <f>2193850</f>
        <v>2193850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2193850</f>
        <v>2193850</v>
      </c>
      <c r="AX25" s="24"/>
      <c r="AY25" s="25" t="s">
        <v>74</v>
      </c>
      <c r="AZ25" s="25"/>
      <c r="BA25" s="24">
        <f>1768606.22</f>
        <v>1768606.22</v>
      </c>
      <c r="BB25" s="24"/>
      <c r="BC25" s="24"/>
      <c r="BD25" s="25" t="s">
        <v>74</v>
      </c>
      <c r="BE25" s="25"/>
      <c r="BF25" s="24">
        <f>1768606.22</f>
        <v>1768606.22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1768606.22</f>
        <v>1768606.22</v>
      </c>
      <c r="BR25" s="24"/>
      <c r="BS25" s="24"/>
      <c r="BT25" s="27" t="s">
        <v>74</v>
      </c>
    </row>
    <row r="26" spans="1:72" s="1" customFormat="1" ht="85.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2193850</f>
        <v>2193850</v>
      </c>
      <c r="V26" s="24"/>
      <c r="W26" s="24"/>
      <c r="X26" s="25" t="s">
        <v>74</v>
      </c>
      <c r="Y26" s="25"/>
      <c r="Z26" s="25"/>
      <c r="AA26" s="25"/>
      <c r="AB26" s="24">
        <f>2193850</f>
        <v>2193850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2193850</f>
        <v>2193850</v>
      </c>
      <c r="AX26" s="24"/>
      <c r="AY26" s="25" t="s">
        <v>74</v>
      </c>
      <c r="AZ26" s="25"/>
      <c r="BA26" s="24">
        <f>1768606.22</f>
        <v>1768606.22</v>
      </c>
      <c r="BB26" s="24"/>
      <c r="BC26" s="24"/>
      <c r="BD26" s="25" t="s">
        <v>74</v>
      </c>
      <c r="BE26" s="25"/>
      <c r="BF26" s="24">
        <f>1768606.22</f>
        <v>1768606.22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1768606.22</f>
        <v>1768606.22</v>
      </c>
      <c r="BR26" s="24"/>
      <c r="BS26" s="24"/>
      <c r="BT26" s="27" t="s">
        <v>74</v>
      </c>
    </row>
    <row r="27" spans="1:72" s="1" customFormat="1" ht="75.75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15240</f>
        <v>15240</v>
      </c>
      <c r="V27" s="24"/>
      <c r="W27" s="24"/>
      <c r="X27" s="25" t="s">
        <v>74</v>
      </c>
      <c r="Y27" s="25"/>
      <c r="Z27" s="25"/>
      <c r="AA27" s="25"/>
      <c r="AB27" s="24">
        <f>15240</f>
        <v>15240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15240</f>
        <v>15240</v>
      </c>
      <c r="AX27" s="24"/>
      <c r="AY27" s="25" t="s">
        <v>74</v>
      </c>
      <c r="AZ27" s="25"/>
      <c r="BA27" s="24">
        <f>9415.47</f>
        <v>9415.47</v>
      </c>
      <c r="BB27" s="24"/>
      <c r="BC27" s="24"/>
      <c r="BD27" s="25" t="s">
        <v>74</v>
      </c>
      <c r="BE27" s="25"/>
      <c r="BF27" s="24">
        <f>9415.47</f>
        <v>9415.47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9415.47</f>
        <v>9415.47</v>
      </c>
      <c r="BR27" s="24"/>
      <c r="BS27" s="24"/>
      <c r="BT27" s="27" t="s">
        <v>74</v>
      </c>
    </row>
    <row r="28" spans="1:72" s="1" customFormat="1" ht="96.7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15240</f>
        <v>15240</v>
      </c>
      <c r="V28" s="24"/>
      <c r="W28" s="24"/>
      <c r="X28" s="25" t="s">
        <v>74</v>
      </c>
      <c r="Y28" s="25"/>
      <c r="Z28" s="25"/>
      <c r="AA28" s="25"/>
      <c r="AB28" s="24">
        <f>15240</f>
        <v>15240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15240</f>
        <v>15240</v>
      </c>
      <c r="AX28" s="24"/>
      <c r="AY28" s="25" t="s">
        <v>74</v>
      </c>
      <c r="AZ28" s="25"/>
      <c r="BA28" s="24">
        <f>9415.47</f>
        <v>9415.47</v>
      </c>
      <c r="BB28" s="24"/>
      <c r="BC28" s="24"/>
      <c r="BD28" s="25" t="s">
        <v>74</v>
      </c>
      <c r="BE28" s="25"/>
      <c r="BF28" s="24">
        <f>9415.47</f>
        <v>9415.47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9415.47</f>
        <v>9415.47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2595250</f>
        <v>2595250</v>
      </c>
      <c r="V29" s="24"/>
      <c r="W29" s="24"/>
      <c r="X29" s="25" t="s">
        <v>74</v>
      </c>
      <c r="Y29" s="25"/>
      <c r="Z29" s="25"/>
      <c r="AA29" s="25"/>
      <c r="AB29" s="24">
        <f>2595250</f>
        <v>2595250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2595250</f>
        <v>2595250</v>
      </c>
      <c r="AX29" s="24"/>
      <c r="AY29" s="25" t="s">
        <v>74</v>
      </c>
      <c r="AZ29" s="25"/>
      <c r="BA29" s="24">
        <f>1875726.27</f>
        <v>1875726.27</v>
      </c>
      <c r="BB29" s="24"/>
      <c r="BC29" s="24"/>
      <c r="BD29" s="25" t="s">
        <v>74</v>
      </c>
      <c r="BE29" s="25"/>
      <c r="BF29" s="24">
        <f>1875726.27</f>
        <v>1875726.27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1875726.27</f>
        <v>1875726.27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2595250</f>
        <v>2595250</v>
      </c>
      <c r="V30" s="24"/>
      <c r="W30" s="24"/>
      <c r="X30" s="25" t="s">
        <v>74</v>
      </c>
      <c r="Y30" s="25"/>
      <c r="Z30" s="25"/>
      <c r="AA30" s="25"/>
      <c r="AB30" s="24">
        <f>2595250</f>
        <v>2595250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2595250</f>
        <v>2595250</v>
      </c>
      <c r="AX30" s="24"/>
      <c r="AY30" s="25" t="s">
        <v>74</v>
      </c>
      <c r="AZ30" s="25"/>
      <c r="BA30" s="24">
        <f>1875726.27</f>
        <v>1875726.27</v>
      </c>
      <c r="BB30" s="24"/>
      <c r="BC30" s="24"/>
      <c r="BD30" s="25" t="s">
        <v>74</v>
      </c>
      <c r="BE30" s="25"/>
      <c r="BF30" s="24">
        <f>1875726.27</f>
        <v>1875726.27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1875726.27</f>
        <v>1875726.27</v>
      </c>
      <c r="BR30" s="24"/>
      <c r="BS30" s="24"/>
      <c r="BT30" s="27" t="s">
        <v>74</v>
      </c>
    </row>
    <row r="31" spans="1:72" s="1" customFormat="1" ht="66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-289340</f>
        <v>-289340</v>
      </c>
      <c r="V31" s="24"/>
      <c r="W31" s="24"/>
      <c r="X31" s="25" t="s">
        <v>74</v>
      </c>
      <c r="Y31" s="25"/>
      <c r="Z31" s="25"/>
      <c r="AA31" s="25"/>
      <c r="AB31" s="24">
        <f>-289340</f>
        <v>-289340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-289340</f>
        <v>-289340</v>
      </c>
      <c r="AX31" s="24"/>
      <c r="AY31" s="25" t="s">
        <v>74</v>
      </c>
      <c r="AZ31" s="25"/>
      <c r="BA31" s="24">
        <f>-207230.34</f>
        <v>-207230.34</v>
      </c>
      <c r="BB31" s="24"/>
      <c r="BC31" s="24"/>
      <c r="BD31" s="25" t="s">
        <v>74</v>
      </c>
      <c r="BE31" s="25"/>
      <c r="BF31" s="24">
        <f>-207230.34</f>
        <v>-207230.34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-207230.34</f>
        <v>-207230.34</v>
      </c>
      <c r="BR31" s="24"/>
      <c r="BS31" s="24"/>
      <c r="BT31" s="27" t="s">
        <v>74</v>
      </c>
    </row>
    <row r="32" spans="1:72" s="1" customFormat="1" ht="85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-289340</f>
        <v>-289340</v>
      </c>
      <c r="V32" s="24"/>
      <c r="W32" s="24"/>
      <c r="X32" s="25" t="s">
        <v>74</v>
      </c>
      <c r="Y32" s="25"/>
      <c r="Z32" s="25"/>
      <c r="AA32" s="25"/>
      <c r="AB32" s="24">
        <f>-289340</f>
        <v>-289340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-289340</f>
        <v>-289340</v>
      </c>
      <c r="AX32" s="24"/>
      <c r="AY32" s="25" t="s">
        <v>74</v>
      </c>
      <c r="AZ32" s="25"/>
      <c r="BA32" s="24">
        <f>-207230.34</f>
        <v>-207230.34</v>
      </c>
      <c r="BB32" s="24"/>
      <c r="BC32" s="24"/>
      <c r="BD32" s="25" t="s">
        <v>74</v>
      </c>
      <c r="BE32" s="25"/>
      <c r="BF32" s="24">
        <f>-207230.34</f>
        <v>-207230.34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-207230.34</f>
        <v>-207230.34</v>
      </c>
      <c r="BR32" s="24"/>
      <c r="BS32" s="24"/>
      <c r="BT32" s="27" t="s">
        <v>74</v>
      </c>
    </row>
    <row r="33" spans="1:72" s="1" customFormat="1" ht="13.5" customHeight="1">
      <c r="A33" s="16" t="s">
        <v>113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114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6876.6</f>
        <v>6876.6</v>
      </c>
      <c r="BB33" s="24"/>
      <c r="BC33" s="24"/>
      <c r="BD33" s="25" t="s">
        <v>74</v>
      </c>
      <c r="BE33" s="25"/>
      <c r="BF33" s="24">
        <f>6876.6</f>
        <v>6876.6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6876.6</f>
        <v>6876.6</v>
      </c>
      <c r="BR33" s="24"/>
      <c r="BS33" s="24"/>
      <c r="BT33" s="27" t="s">
        <v>74</v>
      </c>
    </row>
    <row r="34" spans="1:72" s="1" customFormat="1" ht="13.5" customHeight="1">
      <c r="A34" s="16" t="s">
        <v>115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116</v>
      </c>
      <c r="Q34" s="23"/>
      <c r="R34" s="23"/>
      <c r="S34" s="23"/>
      <c r="T34" s="23"/>
      <c r="U34" s="24">
        <f>7000</f>
        <v>7000</v>
      </c>
      <c r="V34" s="24"/>
      <c r="W34" s="24"/>
      <c r="X34" s="25" t="s">
        <v>74</v>
      </c>
      <c r="Y34" s="25"/>
      <c r="Z34" s="25"/>
      <c r="AA34" s="25"/>
      <c r="AB34" s="24">
        <f>7000</f>
        <v>7000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7000</f>
        <v>7000</v>
      </c>
      <c r="AX34" s="24"/>
      <c r="AY34" s="25" t="s">
        <v>74</v>
      </c>
      <c r="AZ34" s="25"/>
      <c r="BA34" s="24">
        <f>6876.6</f>
        <v>6876.6</v>
      </c>
      <c r="BB34" s="24"/>
      <c r="BC34" s="24"/>
      <c r="BD34" s="25" t="s">
        <v>74</v>
      </c>
      <c r="BE34" s="25"/>
      <c r="BF34" s="24">
        <f>6876.6</f>
        <v>6876.6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6876.6</f>
        <v>6876.6</v>
      </c>
      <c r="BR34" s="24"/>
      <c r="BS34" s="24"/>
      <c r="BT34" s="27" t="s">
        <v>74</v>
      </c>
    </row>
    <row r="35" spans="1:72" s="1" customFormat="1" ht="13.5" customHeight="1">
      <c r="A35" s="16" t="s">
        <v>115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7000</f>
        <v>7000</v>
      </c>
      <c r="V35" s="24"/>
      <c r="W35" s="24"/>
      <c r="X35" s="25" t="s">
        <v>74</v>
      </c>
      <c r="Y35" s="25"/>
      <c r="Z35" s="25"/>
      <c r="AA35" s="25"/>
      <c r="AB35" s="24">
        <f>7000</f>
        <v>7000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7000</f>
        <v>7000</v>
      </c>
      <c r="AX35" s="24"/>
      <c r="AY35" s="25" t="s">
        <v>74</v>
      </c>
      <c r="AZ35" s="25"/>
      <c r="BA35" s="24">
        <f>6876.6</f>
        <v>6876.6</v>
      </c>
      <c r="BB35" s="24"/>
      <c r="BC35" s="24"/>
      <c r="BD35" s="25" t="s">
        <v>74</v>
      </c>
      <c r="BE35" s="25"/>
      <c r="BF35" s="24">
        <f>6876.6</f>
        <v>6876.6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6876.6</f>
        <v>6876.6</v>
      </c>
      <c r="BR35" s="24"/>
      <c r="BS35" s="24"/>
      <c r="BT35" s="27" t="s">
        <v>74</v>
      </c>
    </row>
    <row r="36" spans="1:72" s="1" customFormat="1" ht="13.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7278000</f>
        <v>7278000</v>
      </c>
      <c r="V36" s="24"/>
      <c r="W36" s="24"/>
      <c r="X36" s="25" t="s">
        <v>74</v>
      </c>
      <c r="Y36" s="25"/>
      <c r="Z36" s="25"/>
      <c r="AA36" s="25"/>
      <c r="AB36" s="24">
        <f>7278000</f>
        <v>7278000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7278000</f>
        <v>7278000</v>
      </c>
      <c r="AX36" s="24"/>
      <c r="AY36" s="25" t="s">
        <v>74</v>
      </c>
      <c r="AZ36" s="25"/>
      <c r="BA36" s="24">
        <f>2832811.12</f>
        <v>2832811.12</v>
      </c>
      <c r="BB36" s="24"/>
      <c r="BC36" s="24"/>
      <c r="BD36" s="25" t="s">
        <v>74</v>
      </c>
      <c r="BE36" s="25"/>
      <c r="BF36" s="24">
        <f>2832811.12</f>
        <v>2832811.12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2832811.12</f>
        <v>2832811.12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2026000</f>
        <v>2026000</v>
      </c>
      <c r="V37" s="24"/>
      <c r="W37" s="24"/>
      <c r="X37" s="25" t="s">
        <v>74</v>
      </c>
      <c r="Y37" s="25"/>
      <c r="Z37" s="25"/>
      <c r="AA37" s="25"/>
      <c r="AB37" s="24">
        <f>2026000</f>
        <v>2026000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2026000</f>
        <v>2026000</v>
      </c>
      <c r="AX37" s="24"/>
      <c r="AY37" s="25" t="s">
        <v>74</v>
      </c>
      <c r="AZ37" s="25"/>
      <c r="BA37" s="24">
        <f>224026.65</f>
        <v>224026.65</v>
      </c>
      <c r="BB37" s="24"/>
      <c r="BC37" s="24"/>
      <c r="BD37" s="25" t="s">
        <v>74</v>
      </c>
      <c r="BE37" s="25"/>
      <c r="BF37" s="24">
        <f>224026.65</f>
        <v>224026.65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224026.65</f>
        <v>224026.65</v>
      </c>
      <c r="BR37" s="24"/>
      <c r="BS37" s="24"/>
      <c r="BT37" s="27" t="s">
        <v>74</v>
      </c>
    </row>
    <row r="38" spans="1:72" s="1" customFormat="1" ht="33.7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2026000</f>
        <v>2026000</v>
      </c>
      <c r="V38" s="24"/>
      <c r="W38" s="24"/>
      <c r="X38" s="25" t="s">
        <v>74</v>
      </c>
      <c r="Y38" s="25"/>
      <c r="Z38" s="25"/>
      <c r="AA38" s="25"/>
      <c r="AB38" s="24">
        <f>2026000</f>
        <v>2026000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2026000</f>
        <v>2026000</v>
      </c>
      <c r="AX38" s="24"/>
      <c r="AY38" s="25" t="s">
        <v>74</v>
      </c>
      <c r="AZ38" s="25"/>
      <c r="BA38" s="24">
        <f>224026.65</f>
        <v>224026.65</v>
      </c>
      <c r="BB38" s="24"/>
      <c r="BC38" s="24"/>
      <c r="BD38" s="25" t="s">
        <v>74</v>
      </c>
      <c r="BE38" s="25"/>
      <c r="BF38" s="24">
        <f>224026.65</f>
        <v>224026.65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224026.65</f>
        <v>224026.65</v>
      </c>
      <c r="BR38" s="24"/>
      <c r="BS38" s="24"/>
      <c r="BT38" s="27" t="s">
        <v>74</v>
      </c>
    </row>
    <row r="39" spans="1:72" s="1" customFormat="1" ht="13.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5252000</f>
        <v>5252000</v>
      </c>
      <c r="V39" s="24"/>
      <c r="W39" s="24"/>
      <c r="X39" s="25" t="s">
        <v>74</v>
      </c>
      <c r="Y39" s="25"/>
      <c r="Z39" s="25"/>
      <c r="AA39" s="25"/>
      <c r="AB39" s="24">
        <f>5252000</f>
        <v>5252000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5252000</f>
        <v>5252000</v>
      </c>
      <c r="AX39" s="24"/>
      <c r="AY39" s="25" t="s">
        <v>74</v>
      </c>
      <c r="AZ39" s="25"/>
      <c r="BA39" s="24">
        <f>2608784.47</f>
        <v>2608784.47</v>
      </c>
      <c r="BB39" s="24"/>
      <c r="BC39" s="24"/>
      <c r="BD39" s="25" t="s">
        <v>74</v>
      </c>
      <c r="BE39" s="25"/>
      <c r="BF39" s="24">
        <f>2608784.47</f>
        <v>2608784.47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2608784.47</f>
        <v>2608784.47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2739000</f>
        <v>2739000</v>
      </c>
      <c r="V40" s="24"/>
      <c r="W40" s="24"/>
      <c r="X40" s="25" t="s">
        <v>74</v>
      </c>
      <c r="Y40" s="25"/>
      <c r="Z40" s="25"/>
      <c r="AA40" s="25"/>
      <c r="AB40" s="24">
        <f>2739000</f>
        <v>2739000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2739000</f>
        <v>2739000</v>
      </c>
      <c r="AX40" s="24"/>
      <c r="AY40" s="25" t="s">
        <v>74</v>
      </c>
      <c r="AZ40" s="25"/>
      <c r="BA40" s="24">
        <f>2379710.24</f>
        <v>2379710.24</v>
      </c>
      <c r="BB40" s="24"/>
      <c r="BC40" s="24"/>
      <c r="BD40" s="25" t="s">
        <v>74</v>
      </c>
      <c r="BE40" s="25"/>
      <c r="BF40" s="24">
        <f>2379710.24</f>
        <v>2379710.24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2379710.24</f>
        <v>2379710.24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2739000</f>
        <v>2739000</v>
      </c>
      <c r="V41" s="24"/>
      <c r="W41" s="24"/>
      <c r="X41" s="25" t="s">
        <v>74</v>
      </c>
      <c r="Y41" s="25"/>
      <c r="Z41" s="25"/>
      <c r="AA41" s="25"/>
      <c r="AB41" s="24">
        <f>2739000</f>
        <v>2739000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2739000</f>
        <v>2739000</v>
      </c>
      <c r="AX41" s="24"/>
      <c r="AY41" s="25" t="s">
        <v>74</v>
      </c>
      <c r="AZ41" s="25"/>
      <c r="BA41" s="24">
        <f>2379710.24</f>
        <v>2379710.24</v>
      </c>
      <c r="BB41" s="24"/>
      <c r="BC41" s="24"/>
      <c r="BD41" s="25" t="s">
        <v>74</v>
      </c>
      <c r="BE41" s="25"/>
      <c r="BF41" s="24">
        <f>2379710.24</f>
        <v>2379710.24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2379710.24</f>
        <v>2379710.24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2513000</f>
        <v>2513000</v>
      </c>
      <c r="V42" s="24"/>
      <c r="W42" s="24"/>
      <c r="X42" s="25" t="s">
        <v>74</v>
      </c>
      <c r="Y42" s="25"/>
      <c r="Z42" s="25"/>
      <c r="AA42" s="25"/>
      <c r="AB42" s="24">
        <f>2513000</f>
        <v>2513000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2513000</f>
        <v>2513000</v>
      </c>
      <c r="AX42" s="24"/>
      <c r="AY42" s="25" t="s">
        <v>74</v>
      </c>
      <c r="AZ42" s="25"/>
      <c r="BA42" s="24">
        <f>229074.23</f>
        <v>229074.23</v>
      </c>
      <c r="BB42" s="24"/>
      <c r="BC42" s="24"/>
      <c r="BD42" s="25" t="s">
        <v>74</v>
      </c>
      <c r="BE42" s="25"/>
      <c r="BF42" s="24">
        <f>229074.23</f>
        <v>229074.23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229074.23</f>
        <v>229074.23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2513000</f>
        <v>2513000</v>
      </c>
      <c r="V43" s="24"/>
      <c r="W43" s="24"/>
      <c r="X43" s="25" t="s">
        <v>74</v>
      </c>
      <c r="Y43" s="25"/>
      <c r="Z43" s="25"/>
      <c r="AA43" s="25"/>
      <c r="AB43" s="24">
        <f>2513000</f>
        <v>2513000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2513000</f>
        <v>2513000</v>
      </c>
      <c r="AX43" s="24"/>
      <c r="AY43" s="25" t="s">
        <v>74</v>
      </c>
      <c r="AZ43" s="25"/>
      <c r="BA43" s="24">
        <f>229074.23</f>
        <v>229074.23</v>
      </c>
      <c r="BB43" s="24"/>
      <c r="BC43" s="24"/>
      <c r="BD43" s="25" t="s">
        <v>74</v>
      </c>
      <c r="BE43" s="25"/>
      <c r="BF43" s="24">
        <f>229074.23</f>
        <v>229074.23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229074.23</f>
        <v>229074.23</v>
      </c>
      <c r="BR43" s="24"/>
      <c r="BS43" s="24"/>
      <c r="BT43" s="27" t="s">
        <v>74</v>
      </c>
    </row>
    <row r="44" spans="1:72" s="1" customFormat="1" ht="13.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4300</f>
        <v>4300</v>
      </c>
      <c r="BB44" s="24"/>
      <c r="BC44" s="24"/>
      <c r="BD44" s="25" t="s">
        <v>74</v>
      </c>
      <c r="BE44" s="25"/>
      <c r="BF44" s="24">
        <f>4300</f>
        <v>4300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4300</f>
        <v>4300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5" t="s">
        <v>74</v>
      </c>
      <c r="V45" s="25"/>
      <c r="W45" s="25"/>
      <c r="X45" s="25" t="s">
        <v>74</v>
      </c>
      <c r="Y45" s="25"/>
      <c r="Z45" s="25"/>
      <c r="AA45" s="25"/>
      <c r="AB45" s="25" t="s">
        <v>74</v>
      </c>
      <c r="AC45" s="25"/>
      <c r="AD45" s="25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5" t="s">
        <v>74</v>
      </c>
      <c r="AX45" s="25"/>
      <c r="AY45" s="25" t="s">
        <v>74</v>
      </c>
      <c r="AZ45" s="25"/>
      <c r="BA45" s="24">
        <f>4300</f>
        <v>4300</v>
      </c>
      <c r="BB45" s="24"/>
      <c r="BC45" s="24"/>
      <c r="BD45" s="25" t="s">
        <v>74</v>
      </c>
      <c r="BE45" s="25"/>
      <c r="BF45" s="24">
        <f>4300</f>
        <v>4300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4300</f>
        <v>4300</v>
      </c>
      <c r="BR45" s="24"/>
      <c r="BS45" s="24"/>
      <c r="BT45" s="27" t="s">
        <v>74</v>
      </c>
    </row>
    <row r="46" spans="1:72" s="1" customFormat="1" ht="54.75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5" t="s">
        <v>74</v>
      </c>
      <c r="V46" s="25"/>
      <c r="W46" s="25"/>
      <c r="X46" s="25" t="s">
        <v>74</v>
      </c>
      <c r="Y46" s="25"/>
      <c r="Z46" s="25"/>
      <c r="AA46" s="25"/>
      <c r="AB46" s="25" t="s">
        <v>74</v>
      </c>
      <c r="AC46" s="25"/>
      <c r="AD46" s="25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5" t="s">
        <v>74</v>
      </c>
      <c r="AX46" s="25"/>
      <c r="AY46" s="25" t="s">
        <v>74</v>
      </c>
      <c r="AZ46" s="25"/>
      <c r="BA46" s="24">
        <f>4300</f>
        <v>4300</v>
      </c>
      <c r="BB46" s="24"/>
      <c r="BC46" s="24"/>
      <c r="BD46" s="25" t="s">
        <v>74</v>
      </c>
      <c r="BE46" s="25"/>
      <c r="BF46" s="24">
        <f>4300</f>
        <v>4300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4300</f>
        <v>4300</v>
      </c>
      <c r="BR46" s="24"/>
      <c r="BS46" s="24"/>
      <c r="BT46" s="27" t="s">
        <v>74</v>
      </c>
    </row>
    <row r="47" spans="1:72" s="1" customFormat="1" ht="33.7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538665.05</f>
        <v>538665.05</v>
      </c>
      <c r="BB47" s="24"/>
      <c r="BC47" s="24"/>
      <c r="BD47" s="25" t="s">
        <v>74</v>
      </c>
      <c r="BE47" s="25"/>
      <c r="BF47" s="24">
        <f>538665.05</f>
        <v>538665.05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538665.05</f>
        <v>538665.05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538665.05</f>
        <v>538665.05</v>
      </c>
      <c r="BB48" s="24"/>
      <c r="BC48" s="24"/>
      <c r="BD48" s="25" t="s">
        <v>74</v>
      </c>
      <c r="BE48" s="25"/>
      <c r="BF48" s="24">
        <f>538665.05</f>
        <v>538665.05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538665.05</f>
        <v>538665.05</v>
      </c>
      <c r="BR48" s="24"/>
      <c r="BS48" s="24"/>
      <c r="BT48" s="27" t="s">
        <v>74</v>
      </c>
    </row>
    <row r="49" spans="1:72" s="1" customFormat="1" ht="66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74</v>
      </c>
      <c r="Y49" s="25"/>
      <c r="Z49" s="25"/>
      <c r="AA49" s="25"/>
      <c r="AB49" s="24">
        <f>725000</f>
        <v>725000</v>
      </c>
      <c r="AC49" s="24"/>
      <c r="AD49" s="24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725000</f>
        <v>725000</v>
      </c>
      <c r="AX49" s="24"/>
      <c r="AY49" s="25" t="s">
        <v>74</v>
      </c>
      <c r="AZ49" s="25"/>
      <c r="BA49" s="24">
        <f>538665.05</f>
        <v>538665.05</v>
      </c>
      <c r="BB49" s="24"/>
      <c r="BC49" s="24"/>
      <c r="BD49" s="25" t="s">
        <v>74</v>
      </c>
      <c r="BE49" s="25"/>
      <c r="BF49" s="24">
        <f>538665.05</f>
        <v>538665.05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538665.05</f>
        <v>538665.05</v>
      </c>
      <c r="BR49" s="24"/>
      <c r="BS49" s="24"/>
      <c r="BT49" s="27" t="s">
        <v>74</v>
      </c>
    </row>
    <row r="50" spans="1:72" s="1" customFormat="1" ht="66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74</v>
      </c>
      <c r="Y50" s="25"/>
      <c r="Z50" s="25"/>
      <c r="AA50" s="25"/>
      <c r="AB50" s="24">
        <f>725000</f>
        <v>725000</v>
      </c>
      <c r="AC50" s="24"/>
      <c r="AD50" s="24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725000</f>
        <v>725000</v>
      </c>
      <c r="AX50" s="24"/>
      <c r="AY50" s="25" t="s">
        <v>74</v>
      </c>
      <c r="AZ50" s="25"/>
      <c r="BA50" s="24">
        <f>538665.05</f>
        <v>538665.05</v>
      </c>
      <c r="BB50" s="24"/>
      <c r="BC50" s="24"/>
      <c r="BD50" s="25" t="s">
        <v>74</v>
      </c>
      <c r="BE50" s="25"/>
      <c r="BF50" s="24">
        <f>538665.05</f>
        <v>538665.05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538665.05</f>
        <v>538665.05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10345.07</f>
        <v>10345.07</v>
      </c>
      <c r="BB51" s="24"/>
      <c r="BC51" s="24"/>
      <c r="BD51" s="25" t="s">
        <v>74</v>
      </c>
      <c r="BE51" s="25"/>
      <c r="BF51" s="24">
        <f>10345.07</f>
        <v>10345.07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10345.07</f>
        <v>10345.07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10345.07</f>
        <v>10345.07</v>
      </c>
      <c r="BB52" s="24"/>
      <c r="BC52" s="24"/>
      <c r="BD52" s="25" t="s">
        <v>74</v>
      </c>
      <c r="BE52" s="25"/>
      <c r="BF52" s="24">
        <f>10345.07</f>
        <v>10345.07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10345.07</f>
        <v>10345.07</v>
      </c>
      <c r="BR52" s="24"/>
      <c r="BS52" s="24"/>
      <c r="BT52" s="27" t="s">
        <v>74</v>
      </c>
    </row>
    <row r="53" spans="1:72" s="1" customFormat="1" ht="75.7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10345.07</f>
        <v>10345.07</v>
      </c>
      <c r="BB53" s="24"/>
      <c r="BC53" s="24"/>
      <c r="BD53" s="25" t="s">
        <v>74</v>
      </c>
      <c r="BE53" s="25"/>
      <c r="BF53" s="24">
        <f>10345.07</f>
        <v>10345.07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10345.07</f>
        <v>10345.07</v>
      </c>
      <c r="BR53" s="24"/>
      <c r="BS53" s="24"/>
      <c r="BT53" s="27" t="s">
        <v>74</v>
      </c>
    </row>
    <row r="54" spans="1:72" s="1" customFormat="1" ht="54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10345.07</f>
        <v>10345.07</v>
      </c>
      <c r="BB54" s="24"/>
      <c r="BC54" s="24"/>
      <c r="BD54" s="25" t="s">
        <v>74</v>
      </c>
      <c r="BE54" s="25"/>
      <c r="BF54" s="24">
        <f>10345.07</f>
        <v>10345.07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10345.07</f>
        <v>10345.07</v>
      </c>
      <c r="BR54" s="24"/>
      <c r="BS54" s="24"/>
      <c r="BT54" s="27" t="s">
        <v>74</v>
      </c>
    </row>
    <row r="55" spans="1:72" s="1" customFormat="1" ht="13.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>50000</f>
        <v>50000</v>
      </c>
      <c r="V55" s="24"/>
      <c r="W55" s="24"/>
      <c r="X55" s="25" t="s">
        <v>74</v>
      </c>
      <c r="Y55" s="25"/>
      <c r="Z55" s="25"/>
      <c r="AA55" s="25"/>
      <c r="AB55" s="24">
        <f>50000</f>
        <v>50000</v>
      </c>
      <c r="AC55" s="24"/>
      <c r="AD55" s="24"/>
      <c r="AE55" s="28">
        <f>39466685</f>
        <v>39466685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39516685</f>
        <v>39516685</v>
      </c>
      <c r="AX55" s="24"/>
      <c r="AY55" s="25" t="s">
        <v>74</v>
      </c>
      <c r="AZ55" s="25"/>
      <c r="BA55" s="24">
        <f aca="true" t="shared" si="0" ref="BA55:BA61">0</f>
        <v>0</v>
      </c>
      <c r="BB55" s="24"/>
      <c r="BC55" s="24"/>
      <c r="BD55" s="25" t="s">
        <v>74</v>
      </c>
      <c r="BE55" s="25"/>
      <c r="BF55" s="24">
        <f aca="true" t="shared" si="1" ref="BF55:BF61">0</f>
        <v>0</v>
      </c>
      <c r="BG55" s="24"/>
      <c r="BH55" s="28">
        <f>24596104.34</f>
        <v>24596104.34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24596104.34</f>
        <v>24596104.34</v>
      </c>
      <c r="BR55" s="24"/>
      <c r="BS55" s="24"/>
      <c r="BT55" s="27" t="s">
        <v>74</v>
      </c>
    </row>
    <row r="56" spans="1:72" s="1" customFormat="1" ht="24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aca="true" t="shared" si="2" ref="U56:U78">0</f>
        <v>0</v>
      </c>
      <c r="V56" s="24"/>
      <c r="W56" s="24"/>
      <c r="X56" s="25" t="s">
        <v>74</v>
      </c>
      <c r="Y56" s="25"/>
      <c r="Z56" s="25"/>
      <c r="AA56" s="25"/>
      <c r="AB56" s="24">
        <f aca="true" t="shared" si="3" ref="AB56:AB78">0</f>
        <v>0</v>
      </c>
      <c r="AC56" s="24"/>
      <c r="AD56" s="24"/>
      <c r="AE56" s="28">
        <f>39466685</f>
        <v>39466685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39466685</f>
        <v>39466685</v>
      </c>
      <c r="AX56" s="24"/>
      <c r="AY56" s="25" t="s">
        <v>74</v>
      </c>
      <c r="AZ56" s="25"/>
      <c r="BA56" s="24">
        <f t="shared" si="0"/>
        <v>0</v>
      </c>
      <c r="BB56" s="24"/>
      <c r="BC56" s="24"/>
      <c r="BD56" s="25" t="s">
        <v>74</v>
      </c>
      <c r="BE56" s="25"/>
      <c r="BF56" s="24">
        <f t="shared" si="1"/>
        <v>0</v>
      </c>
      <c r="BG56" s="24"/>
      <c r="BH56" s="28">
        <f>24596104.34</f>
        <v>24596104.34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24596104.34</f>
        <v>24596104.34</v>
      </c>
      <c r="BR56" s="24"/>
      <c r="BS56" s="24"/>
      <c r="BT56" s="27" t="s">
        <v>74</v>
      </c>
    </row>
    <row r="57" spans="1:72" s="1" customFormat="1" ht="24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14964000</f>
        <v>14964000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14964000</f>
        <v>14964000</v>
      </c>
      <c r="AX57" s="24"/>
      <c r="AY57" s="25" t="s">
        <v>74</v>
      </c>
      <c r="AZ57" s="25"/>
      <c r="BA57" s="24">
        <f t="shared" si="0"/>
        <v>0</v>
      </c>
      <c r="BB57" s="24"/>
      <c r="BC57" s="24"/>
      <c r="BD57" s="25" t="s">
        <v>74</v>
      </c>
      <c r="BE57" s="25"/>
      <c r="BF57" s="24">
        <f t="shared" si="1"/>
        <v>0</v>
      </c>
      <c r="BG57" s="24"/>
      <c r="BH57" s="28">
        <f>9701000</f>
        <v>9701000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9701000</f>
        <v>9701000</v>
      </c>
      <c r="BR57" s="24"/>
      <c r="BS57" s="24"/>
      <c r="BT57" s="27" t="s">
        <v>74</v>
      </c>
    </row>
    <row r="58" spans="1:72" s="1" customFormat="1" ht="13.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13764000</f>
        <v>13764000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13764000</f>
        <v>13764000</v>
      </c>
      <c r="AX58" s="24"/>
      <c r="AY58" s="25" t="s">
        <v>74</v>
      </c>
      <c r="AZ58" s="25"/>
      <c r="BA58" s="24">
        <f t="shared" si="0"/>
        <v>0</v>
      </c>
      <c r="BB58" s="24"/>
      <c r="BC58" s="24"/>
      <c r="BD58" s="25" t="s">
        <v>74</v>
      </c>
      <c r="BE58" s="25"/>
      <c r="BF58" s="24">
        <f t="shared" si="1"/>
        <v>0</v>
      </c>
      <c r="BG58" s="24"/>
      <c r="BH58" s="28">
        <f>9176000</f>
        <v>9176000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9176000</f>
        <v>9176000</v>
      </c>
      <c r="BR58" s="24"/>
      <c r="BS58" s="24"/>
      <c r="BT58" s="27" t="s">
        <v>74</v>
      </c>
    </row>
    <row r="59" spans="1:72" s="1" customFormat="1" ht="33.7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13764000</f>
        <v>13764000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13764000</f>
        <v>13764000</v>
      </c>
      <c r="AX59" s="24"/>
      <c r="AY59" s="25" t="s">
        <v>74</v>
      </c>
      <c r="AZ59" s="25"/>
      <c r="BA59" s="24">
        <f t="shared" si="0"/>
        <v>0</v>
      </c>
      <c r="BB59" s="24"/>
      <c r="BC59" s="24"/>
      <c r="BD59" s="25" t="s">
        <v>74</v>
      </c>
      <c r="BE59" s="25"/>
      <c r="BF59" s="24">
        <f t="shared" si="1"/>
        <v>0</v>
      </c>
      <c r="BG59" s="24"/>
      <c r="BH59" s="28">
        <f>9176000</f>
        <v>9176000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9176000</f>
        <v>9176000</v>
      </c>
      <c r="BR59" s="24"/>
      <c r="BS59" s="24"/>
      <c r="BT59" s="27" t="s">
        <v>74</v>
      </c>
    </row>
    <row r="60" spans="1:72" s="1" customFormat="1" ht="33.7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74</v>
      </c>
      <c r="Y60" s="25"/>
      <c r="Z60" s="25"/>
      <c r="AA60" s="25"/>
      <c r="AB60" s="24">
        <f t="shared" si="3"/>
        <v>0</v>
      </c>
      <c r="AC60" s="24"/>
      <c r="AD60" s="24"/>
      <c r="AE60" s="28">
        <f>700000</f>
        <v>700000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700000</f>
        <v>700000</v>
      </c>
      <c r="AX60" s="24"/>
      <c r="AY60" s="25" t="s">
        <v>74</v>
      </c>
      <c r="AZ60" s="25"/>
      <c r="BA60" s="24">
        <f t="shared" si="0"/>
        <v>0</v>
      </c>
      <c r="BB60" s="24"/>
      <c r="BC60" s="24"/>
      <c r="BD60" s="25" t="s">
        <v>74</v>
      </c>
      <c r="BE60" s="25"/>
      <c r="BF60" s="24">
        <f t="shared" si="1"/>
        <v>0</v>
      </c>
      <c r="BG60" s="24"/>
      <c r="BH60" s="28">
        <f>525000</f>
        <v>525000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525000</f>
        <v>525000</v>
      </c>
      <c r="BR60" s="24"/>
      <c r="BS60" s="24"/>
      <c r="BT60" s="27" t="s">
        <v>74</v>
      </c>
    </row>
    <row r="61" spans="1:72" s="1" customFormat="1" ht="33.7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74</v>
      </c>
      <c r="Y61" s="25"/>
      <c r="Z61" s="25"/>
      <c r="AA61" s="25"/>
      <c r="AB61" s="24">
        <f t="shared" si="3"/>
        <v>0</v>
      </c>
      <c r="AC61" s="24"/>
      <c r="AD61" s="24"/>
      <c r="AE61" s="28">
        <f>700000</f>
        <v>700000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700000</f>
        <v>700000</v>
      </c>
      <c r="AX61" s="24"/>
      <c r="AY61" s="25" t="s">
        <v>74</v>
      </c>
      <c r="AZ61" s="25"/>
      <c r="BA61" s="24">
        <f t="shared" si="0"/>
        <v>0</v>
      </c>
      <c r="BB61" s="24"/>
      <c r="BC61" s="24"/>
      <c r="BD61" s="25" t="s">
        <v>74</v>
      </c>
      <c r="BE61" s="25"/>
      <c r="BF61" s="24">
        <f t="shared" si="1"/>
        <v>0</v>
      </c>
      <c r="BG61" s="24"/>
      <c r="BH61" s="28">
        <f>525000</f>
        <v>525000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525000</f>
        <v>525000</v>
      </c>
      <c r="BR61" s="24"/>
      <c r="BS61" s="24"/>
      <c r="BT61" s="27" t="s">
        <v>74</v>
      </c>
    </row>
    <row r="62" spans="1:72" s="1" customFormat="1" ht="13.5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74</v>
      </c>
      <c r="Y62" s="25"/>
      <c r="Z62" s="25"/>
      <c r="AA62" s="25"/>
      <c r="AB62" s="24">
        <f t="shared" si="3"/>
        <v>0</v>
      </c>
      <c r="AC62" s="24"/>
      <c r="AD62" s="24"/>
      <c r="AE62" s="28">
        <f>500000</f>
        <v>500000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500000</f>
        <v>500000</v>
      </c>
      <c r="AX62" s="24"/>
      <c r="AY62" s="25" t="s">
        <v>74</v>
      </c>
      <c r="AZ62" s="25"/>
      <c r="BA62" s="25" t="s">
        <v>74</v>
      </c>
      <c r="BB62" s="25"/>
      <c r="BC62" s="25"/>
      <c r="BD62" s="25" t="s">
        <v>74</v>
      </c>
      <c r="BE62" s="25"/>
      <c r="BF62" s="25" t="s">
        <v>74</v>
      </c>
      <c r="BG62" s="25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5" t="s">
        <v>74</v>
      </c>
      <c r="BR62" s="25"/>
      <c r="BS62" s="25"/>
      <c r="BT62" s="27" t="s">
        <v>74</v>
      </c>
    </row>
    <row r="63" spans="1:72" s="1" customFormat="1" ht="13.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500000</f>
        <v>500000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500000</f>
        <v>500000</v>
      </c>
      <c r="AX63" s="24"/>
      <c r="AY63" s="25" t="s">
        <v>74</v>
      </c>
      <c r="AZ63" s="25"/>
      <c r="BA63" s="25" t="s">
        <v>74</v>
      </c>
      <c r="BB63" s="25"/>
      <c r="BC63" s="25"/>
      <c r="BD63" s="25" t="s">
        <v>74</v>
      </c>
      <c r="BE63" s="25"/>
      <c r="BF63" s="25" t="s">
        <v>74</v>
      </c>
      <c r="BG63" s="25"/>
      <c r="BH63" s="26" t="s">
        <v>74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5" t="s">
        <v>74</v>
      </c>
      <c r="BR63" s="25"/>
      <c r="BS63" s="25"/>
      <c r="BT63" s="27" t="s">
        <v>74</v>
      </c>
    </row>
    <row r="64" spans="1:72" s="1" customFormat="1" ht="24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19844669</f>
        <v>19844669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19844669</f>
        <v>19844669</v>
      </c>
      <c r="AX64" s="24"/>
      <c r="AY64" s="25" t="s">
        <v>74</v>
      </c>
      <c r="AZ64" s="25"/>
      <c r="BA64" s="24">
        <f>0</f>
        <v>0</v>
      </c>
      <c r="BB64" s="24"/>
      <c r="BC64" s="24"/>
      <c r="BD64" s="25" t="s">
        <v>74</v>
      </c>
      <c r="BE64" s="25"/>
      <c r="BF64" s="24">
        <f>0</f>
        <v>0</v>
      </c>
      <c r="BG64" s="24"/>
      <c r="BH64" s="28">
        <f>10452872.99</f>
        <v>10452872.99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10452872.99</f>
        <v>10452872.99</v>
      </c>
      <c r="BR64" s="24"/>
      <c r="BS64" s="24"/>
      <c r="BT64" s="27" t="s">
        <v>74</v>
      </c>
    </row>
    <row r="65" spans="1:72" s="1" customFormat="1" ht="54.7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8947190</f>
        <v>8947190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8947190</f>
        <v>8947190</v>
      </c>
      <c r="AX65" s="24"/>
      <c r="AY65" s="25" t="s">
        <v>74</v>
      </c>
      <c r="AZ65" s="25"/>
      <c r="BA65" s="25" t="s">
        <v>74</v>
      </c>
      <c r="BB65" s="25"/>
      <c r="BC65" s="25"/>
      <c r="BD65" s="25" t="s">
        <v>74</v>
      </c>
      <c r="BE65" s="25"/>
      <c r="BF65" s="25" t="s">
        <v>74</v>
      </c>
      <c r="BG65" s="25"/>
      <c r="BH65" s="26" t="s">
        <v>74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5" t="s">
        <v>74</v>
      </c>
      <c r="BR65" s="25"/>
      <c r="BS65" s="25"/>
      <c r="BT65" s="27" t="s">
        <v>74</v>
      </c>
    </row>
    <row r="66" spans="1:72" s="1" customFormat="1" ht="54.7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8947190</f>
        <v>8947190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8947190</f>
        <v>8947190</v>
      </c>
      <c r="AX66" s="24"/>
      <c r="AY66" s="25" t="s">
        <v>74</v>
      </c>
      <c r="AZ66" s="25"/>
      <c r="BA66" s="25" t="s">
        <v>74</v>
      </c>
      <c r="BB66" s="25"/>
      <c r="BC66" s="25"/>
      <c r="BD66" s="25" t="s">
        <v>74</v>
      </c>
      <c r="BE66" s="25"/>
      <c r="BF66" s="25" t="s">
        <v>74</v>
      </c>
      <c r="BG66" s="25"/>
      <c r="BH66" s="26" t="s">
        <v>74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5" t="s">
        <v>74</v>
      </c>
      <c r="BR66" s="25"/>
      <c r="BS66" s="25"/>
      <c r="BT66" s="27" t="s">
        <v>74</v>
      </c>
    </row>
    <row r="67" spans="1:72" s="1" customFormat="1" ht="24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727100</f>
        <v>727100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727100</f>
        <v>727100</v>
      </c>
      <c r="AX67" s="24"/>
      <c r="AY67" s="25" t="s">
        <v>74</v>
      </c>
      <c r="AZ67" s="25"/>
      <c r="BA67" s="24">
        <f>0</f>
        <v>0</v>
      </c>
      <c r="BB67" s="24"/>
      <c r="BC67" s="24"/>
      <c r="BD67" s="25" t="s">
        <v>74</v>
      </c>
      <c r="BE67" s="25"/>
      <c r="BF67" s="24">
        <f>0</f>
        <v>0</v>
      </c>
      <c r="BG67" s="24"/>
      <c r="BH67" s="28">
        <f>726832.46</f>
        <v>726832.46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726832.46</f>
        <v>726832.46</v>
      </c>
      <c r="BR67" s="24"/>
      <c r="BS67" s="24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727100</f>
        <v>727100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727100</f>
        <v>727100</v>
      </c>
      <c r="AX68" s="24"/>
      <c r="AY68" s="25" t="s">
        <v>74</v>
      </c>
      <c r="AZ68" s="25"/>
      <c r="BA68" s="24">
        <f>0</f>
        <v>0</v>
      </c>
      <c r="BB68" s="24"/>
      <c r="BC68" s="24"/>
      <c r="BD68" s="25" t="s">
        <v>74</v>
      </c>
      <c r="BE68" s="25"/>
      <c r="BF68" s="24">
        <f>0</f>
        <v>0</v>
      </c>
      <c r="BG68" s="24"/>
      <c r="BH68" s="28">
        <f>726832.46</f>
        <v>726832.46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726832.46</f>
        <v>726832.46</v>
      </c>
      <c r="BR68" s="24"/>
      <c r="BS68" s="24"/>
      <c r="BT68" s="27" t="s">
        <v>74</v>
      </c>
    </row>
    <row r="69" spans="1:72" s="1" customFormat="1" ht="24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74</v>
      </c>
      <c r="Y69" s="25"/>
      <c r="Z69" s="25"/>
      <c r="AA69" s="25"/>
      <c r="AB69" s="24">
        <f t="shared" si="3"/>
        <v>0</v>
      </c>
      <c r="AC69" s="24"/>
      <c r="AD69" s="24"/>
      <c r="AE69" s="28">
        <f>9870379</f>
        <v>9870379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9870379</f>
        <v>9870379</v>
      </c>
      <c r="AX69" s="24"/>
      <c r="AY69" s="25" t="s">
        <v>74</v>
      </c>
      <c r="AZ69" s="25"/>
      <c r="BA69" s="24">
        <f>0</f>
        <v>0</v>
      </c>
      <c r="BB69" s="24"/>
      <c r="BC69" s="24"/>
      <c r="BD69" s="25" t="s">
        <v>74</v>
      </c>
      <c r="BE69" s="25"/>
      <c r="BF69" s="24">
        <f>0</f>
        <v>0</v>
      </c>
      <c r="BG69" s="24"/>
      <c r="BH69" s="28">
        <f>9726040.53</f>
        <v>9726040.53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9726040.53</f>
        <v>9726040.53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74</v>
      </c>
      <c r="Y70" s="25"/>
      <c r="Z70" s="25"/>
      <c r="AA70" s="25"/>
      <c r="AB70" s="24">
        <f t="shared" si="3"/>
        <v>0</v>
      </c>
      <c r="AC70" s="24"/>
      <c r="AD70" s="24"/>
      <c r="AE70" s="28">
        <f>9870379</f>
        <v>9870379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9870379</f>
        <v>9870379</v>
      </c>
      <c r="AX70" s="24"/>
      <c r="AY70" s="25" t="s">
        <v>74</v>
      </c>
      <c r="AZ70" s="25"/>
      <c r="BA70" s="24">
        <f>0</f>
        <v>0</v>
      </c>
      <c r="BB70" s="24"/>
      <c r="BC70" s="24"/>
      <c r="BD70" s="25" t="s">
        <v>74</v>
      </c>
      <c r="BE70" s="25"/>
      <c r="BF70" s="24">
        <f>0</f>
        <v>0</v>
      </c>
      <c r="BG70" s="24"/>
      <c r="BH70" s="28">
        <f>9726040.53</f>
        <v>9726040.53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9726040.53</f>
        <v>9726040.53</v>
      </c>
      <c r="BR70" s="24"/>
      <c r="BS70" s="24"/>
      <c r="BT70" s="27" t="s">
        <v>74</v>
      </c>
    </row>
    <row r="71" spans="1:72" s="1" customFormat="1" ht="13.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2"/>
        <v>0</v>
      </c>
      <c r="V71" s="24"/>
      <c r="W71" s="24"/>
      <c r="X71" s="25" t="s">
        <v>74</v>
      </c>
      <c r="Y71" s="25"/>
      <c r="Z71" s="25"/>
      <c r="AA71" s="25"/>
      <c r="AB71" s="24">
        <f t="shared" si="3"/>
        <v>0</v>
      </c>
      <c r="AC71" s="24"/>
      <c r="AD71" s="24"/>
      <c r="AE71" s="28">
        <f>300000</f>
        <v>300000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300000</f>
        <v>300000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13.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2"/>
        <v>0</v>
      </c>
      <c r="V72" s="24"/>
      <c r="W72" s="24"/>
      <c r="X72" s="25" t="s">
        <v>74</v>
      </c>
      <c r="Y72" s="25"/>
      <c r="Z72" s="25"/>
      <c r="AA72" s="25"/>
      <c r="AB72" s="24">
        <f t="shared" si="3"/>
        <v>0</v>
      </c>
      <c r="AC72" s="24"/>
      <c r="AD72" s="24"/>
      <c r="AE72" s="28">
        <f>300000</f>
        <v>300000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300000</f>
        <v>300000</v>
      </c>
      <c r="AX72" s="24"/>
      <c r="AY72" s="25" t="s">
        <v>74</v>
      </c>
      <c r="AZ72" s="25"/>
      <c r="BA72" s="25" t="s">
        <v>74</v>
      </c>
      <c r="BB72" s="25"/>
      <c r="BC72" s="25"/>
      <c r="BD72" s="25" t="s">
        <v>74</v>
      </c>
      <c r="BE72" s="25"/>
      <c r="BF72" s="25" t="s">
        <v>74</v>
      </c>
      <c r="BG72" s="25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5" t="s">
        <v>74</v>
      </c>
      <c r="BR72" s="25"/>
      <c r="BS72" s="25"/>
      <c r="BT72" s="27" t="s">
        <v>74</v>
      </c>
    </row>
    <row r="73" spans="1:72" s="1" customFormat="1" ht="24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2"/>
        <v>0</v>
      </c>
      <c r="V73" s="24"/>
      <c r="W73" s="24"/>
      <c r="X73" s="25" t="s">
        <v>74</v>
      </c>
      <c r="Y73" s="25"/>
      <c r="Z73" s="25"/>
      <c r="AA73" s="25"/>
      <c r="AB73" s="24">
        <f t="shared" si="3"/>
        <v>0</v>
      </c>
      <c r="AC73" s="24"/>
      <c r="AD73" s="24"/>
      <c r="AE73" s="28">
        <f>293942</f>
        <v>293942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293942</f>
        <v>293942</v>
      </c>
      <c r="AX73" s="24"/>
      <c r="AY73" s="25" t="s">
        <v>74</v>
      </c>
      <c r="AZ73" s="25"/>
      <c r="BA73" s="24">
        <f aca="true" t="shared" si="4" ref="BA73:BA78">0</f>
        <v>0</v>
      </c>
      <c r="BB73" s="24"/>
      <c r="BC73" s="24"/>
      <c r="BD73" s="25" t="s">
        <v>74</v>
      </c>
      <c r="BE73" s="25"/>
      <c r="BF73" s="24">
        <f aca="true" t="shared" si="5" ref="BF73:BF78">0</f>
        <v>0</v>
      </c>
      <c r="BG73" s="24"/>
      <c r="BH73" s="28">
        <f>190674.15</f>
        <v>190674.15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190674.15</f>
        <v>190674.15</v>
      </c>
      <c r="BR73" s="24"/>
      <c r="BS73" s="24"/>
      <c r="BT73" s="27" t="s">
        <v>74</v>
      </c>
    </row>
    <row r="74" spans="1:72" s="1" customFormat="1" ht="33.7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2"/>
        <v>0</v>
      </c>
      <c r="V74" s="24"/>
      <c r="W74" s="24"/>
      <c r="X74" s="25" t="s">
        <v>74</v>
      </c>
      <c r="Y74" s="25"/>
      <c r="Z74" s="25"/>
      <c r="AA74" s="25"/>
      <c r="AB74" s="24">
        <f t="shared" si="3"/>
        <v>0</v>
      </c>
      <c r="AC74" s="24"/>
      <c r="AD74" s="24"/>
      <c r="AE74" s="28">
        <f>293942</f>
        <v>293942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293942</f>
        <v>293942</v>
      </c>
      <c r="AX74" s="24"/>
      <c r="AY74" s="25" t="s">
        <v>74</v>
      </c>
      <c r="AZ74" s="25"/>
      <c r="BA74" s="24">
        <f t="shared" si="4"/>
        <v>0</v>
      </c>
      <c r="BB74" s="24"/>
      <c r="BC74" s="24"/>
      <c r="BD74" s="25" t="s">
        <v>74</v>
      </c>
      <c r="BE74" s="25"/>
      <c r="BF74" s="24">
        <f t="shared" si="5"/>
        <v>0</v>
      </c>
      <c r="BG74" s="24"/>
      <c r="BH74" s="28">
        <f>190674.15</f>
        <v>190674.15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190674.15</f>
        <v>190674.15</v>
      </c>
      <c r="BR74" s="24"/>
      <c r="BS74" s="24"/>
      <c r="BT74" s="27" t="s">
        <v>74</v>
      </c>
    </row>
    <row r="75" spans="1:72" s="1" customFormat="1" ht="45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2"/>
        <v>0</v>
      </c>
      <c r="V75" s="24"/>
      <c r="W75" s="24"/>
      <c r="X75" s="25" t="s">
        <v>74</v>
      </c>
      <c r="Y75" s="25"/>
      <c r="Z75" s="25"/>
      <c r="AA75" s="25"/>
      <c r="AB75" s="24">
        <f t="shared" si="3"/>
        <v>0</v>
      </c>
      <c r="AC75" s="24"/>
      <c r="AD75" s="24"/>
      <c r="AE75" s="28">
        <f>293942</f>
        <v>293942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293942</f>
        <v>293942</v>
      </c>
      <c r="AX75" s="24"/>
      <c r="AY75" s="25" t="s">
        <v>74</v>
      </c>
      <c r="AZ75" s="25"/>
      <c r="BA75" s="24">
        <f t="shared" si="4"/>
        <v>0</v>
      </c>
      <c r="BB75" s="24"/>
      <c r="BC75" s="24"/>
      <c r="BD75" s="25" t="s">
        <v>74</v>
      </c>
      <c r="BE75" s="25"/>
      <c r="BF75" s="24">
        <f t="shared" si="5"/>
        <v>0</v>
      </c>
      <c r="BG75" s="24"/>
      <c r="BH75" s="28">
        <f>190674.15</f>
        <v>190674.15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190674.15</f>
        <v>190674.15</v>
      </c>
      <c r="BR75" s="24"/>
      <c r="BS75" s="24"/>
      <c r="BT75" s="27" t="s">
        <v>74</v>
      </c>
    </row>
    <row r="76" spans="1:72" s="1" customFormat="1" ht="13.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2"/>
        <v>0</v>
      </c>
      <c r="V76" s="24"/>
      <c r="W76" s="24"/>
      <c r="X76" s="25" t="s">
        <v>74</v>
      </c>
      <c r="Y76" s="25"/>
      <c r="Z76" s="25"/>
      <c r="AA76" s="25"/>
      <c r="AB76" s="24">
        <f t="shared" si="3"/>
        <v>0</v>
      </c>
      <c r="AC76" s="24"/>
      <c r="AD76" s="24"/>
      <c r="AE76" s="28">
        <f>4364074</f>
        <v>4364074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4364074</f>
        <v>4364074</v>
      </c>
      <c r="AX76" s="24"/>
      <c r="AY76" s="25" t="s">
        <v>74</v>
      </c>
      <c r="AZ76" s="25"/>
      <c r="BA76" s="24">
        <f t="shared" si="4"/>
        <v>0</v>
      </c>
      <c r="BB76" s="24"/>
      <c r="BC76" s="24"/>
      <c r="BD76" s="25" t="s">
        <v>74</v>
      </c>
      <c r="BE76" s="25"/>
      <c r="BF76" s="24">
        <f t="shared" si="5"/>
        <v>0</v>
      </c>
      <c r="BG76" s="24"/>
      <c r="BH76" s="28">
        <f>4251557.2</f>
        <v>4251557.2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4251557.2</f>
        <v>4251557.2</v>
      </c>
      <c r="BR76" s="24"/>
      <c r="BS76" s="24"/>
      <c r="BT76" s="27" t="s">
        <v>74</v>
      </c>
    </row>
    <row r="77" spans="1:72" s="1" customFormat="1" ht="24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2"/>
        <v>0</v>
      </c>
      <c r="V77" s="24"/>
      <c r="W77" s="24"/>
      <c r="X77" s="25" t="s">
        <v>74</v>
      </c>
      <c r="Y77" s="25"/>
      <c r="Z77" s="25"/>
      <c r="AA77" s="25"/>
      <c r="AB77" s="24">
        <f t="shared" si="3"/>
        <v>0</v>
      </c>
      <c r="AC77" s="24"/>
      <c r="AD77" s="24"/>
      <c r="AE77" s="28">
        <f>4364074</f>
        <v>4364074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4364074</f>
        <v>4364074</v>
      </c>
      <c r="AX77" s="24"/>
      <c r="AY77" s="25" t="s">
        <v>74</v>
      </c>
      <c r="AZ77" s="25"/>
      <c r="BA77" s="24">
        <f t="shared" si="4"/>
        <v>0</v>
      </c>
      <c r="BB77" s="24"/>
      <c r="BC77" s="24"/>
      <c r="BD77" s="25" t="s">
        <v>74</v>
      </c>
      <c r="BE77" s="25"/>
      <c r="BF77" s="24">
        <f t="shared" si="5"/>
        <v>0</v>
      </c>
      <c r="BG77" s="24"/>
      <c r="BH77" s="28">
        <f>4251557.2</f>
        <v>4251557.2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4251557.2</f>
        <v>4251557.2</v>
      </c>
      <c r="BR77" s="24"/>
      <c r="BS77" s="24"/>
      <c r="BT77" s="27" t="s">
        <v>74</v>
      </c>
    </row>
    <row r="78" spans="1:72" s="1" customFormat="1" ht="24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2"/>
        <v>0</v>
      </c>
      <c r="V78" s="24"/>
      <c r="W78" s="24"/>
      <c r="X78" s="25" t="s">
        <v>74</v>
      </c>
      <c r="Y78" s="25"/>
      <c r="Z78" s="25"/>
      <c r="AA78" s="25"/>
      <c r="AB78" s="24">
        <f t="shared" si="3"/>
        <v>0</v>
      </c>
      <c r="AC78" s="24"/>
      <c r="AD78" s="24"/>
      <c r="AE78" s="28">
        <f>4364074</f>
        <v>4364074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4364074</f>
        <v>4364074</v>
      </c>
      <c r="AX78" s="24"/>
      <c r="AY78" s="25" t="s">
        <v>74</v>
      </c>
      <c r="AZ78" s="25"/>
      <c r="BA78" s="24">
        <f t="shared" si="4"/>
        <v>0</v>
      </c>
      <c r="BB78" s="24"/>
      <c r="BC78" s="24"/>
      <c r="BD78" s="25" t="s">
        <v>74</v>
      </c>
      <c r="BE78" s="25"/>
      <c r="BF78" s="24">
        <f t="shared" si="5"/>
        <v>0</v>
      </c>
      <c r="BG78" s="24"/>
      <c r="BH78" s="28">
        <f>4251557.2</f>
        <v>4251557.2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4251557.2</f>
        <v>4251557.2</v>
      </c>
      <c r="BR78" s="24"/>
      <c r="BS78" s="24"/>
      <c r="BT78" s="27" t="s">
        <v>74</v>
      </c>
    </row>
    <row r="79" spans="1:72" s="1" customFormat="1" ht="13.5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>50000</f>
        <v>50000</v>
      </c>
      <c r="V79" s="24"/>
      <c r="W79" s="24"/>
      <c r="X79" s="25" t="s">
        <v>74</v>
      </c>
      <c r="Y79" s="25"/>
      <c r="Z79" s="25"/>
      <c r="AA79" s="25"/>
      <c r="AB79" s="24">
        <f>50000</f>
        <v>50000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50000</f>
        <v>50000</v>
      </c>
      <c r="AX79" s="24"/>
      <c r="AY79" s="25" t="s">
        <v>74</v>
      </c>
      <c r="AZ79" s="25"/>
      <c r="BA79" s="25" t="s">
        <v>74</v>
      </c>
      <c r="BB79" s="25"/>
      <c r="BC79" s="25"/>
      <c r="BD79" s="25" t="s">
        <v>74</v>
      </c>
      <c r="BE79" s="25"/>
      <c r="BF79" s="25" t="s">
        <v>74</v>
      </c>
      <c r="BG79" s="25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5" t="s">
        <v>74</v>
      </c>
      <c r="BR79" s="25"/>
      <c r="BS79" s="25"/>
      <c r="BT79" s="27" t="s">
        <v>74</v>
      </c>
    </row>
    <row r="80" spans="1:72" s="1" customFormat="1" ht="24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>50000</f>
        <v>50000</v>
      </c>
      <c r="V80" s="24"/>
      <c r="W80" s="24"/>
      <c r="X80" s="25" t="s">
        <v>74</v>
      </c>
      <c r="Y80" s="25"/>
      <c r="Z80" s="25"/>
      <c r="AA80" s="25"/>
      <c r="AB80" s="24">
        <f>50000</f>
        <v>50000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50000</f>
        <v>50000</v>
      </c>
      <c r="AX80" s="24"/>
      <c r="AY80" s="25" t="s">
        <v>74</v>
      </c>
      <c r="AZ80" s="25"/>
      <c r="BA80" s="25" t="s">
        <v>74</v>
      </c>
      <c r="BB80" s="25"/>
      <c r="BC80" s="25"/>
      <c r="BD80" s="25" t="s">
        <v>74</v>
      </c>
      <c r="BE80" s="25"/>
      <c r="BF80" s="25" t="s">
        <v>74</v>
      </c>
      <c r="BG80" s="25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5" t="s">
        <v>74</v>
      </c>
      <c r="BR80" s="25"/>
      <c r="BS80" s="25"/>
      <c r="BT80" s="27" t="s">
        <v>74</v>
      </c>
    </row>
    <row r="81" spans="1:72" s="1" customFormat="1" ht="24" customHeight="1">
      <c r="A81" s="16" t="s">
        <v>206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208</v>
      </c>
      <c r="Q81" s="23"/>
      <c r="R81" s="23"/>
      <c r="S81" s="23"/>
      <c r="T81" s="23"/>
      <c r="U81" s="24">
        <f>50000</f>
        <v>50000</v>
      </c>
      <c r="V81" s="24"/>
      <c r="W81" s="24"/>
      <c r="X81" s="25" t="s">
        <v>74</v>
      </c>
      <c r="Y81" s="25"/>
      <c r="Z81" s="25"/>
      <c r="AA81" s="25"/>
      <c r="AB81" s="24">
        <f>50000</f>
        <v>50000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50000</f>
        <v>50000</v>
      </c>
      <c r="AX81" s="24"/>
      <c r="AY81" s="25" t="s">
        <v>74</v>
      </c>
      <c r="AZ81" s="25"/>
      <c r="BA81" s="25" t="s">
        <v>74</v>
      </c>
      <c r="BB81" s="25"/>
      <c r="BC81" s="25"/>
      <c r="BD81" s="25" t="s">
        <v>74</v>
      </c>
      <c r="BE81" s="25"/>
      <c r="BF81" s="25" t="s">
        <v>74</v>
      </c>
      <c r="BG81" s="25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5" t="s">
        <v>74</v>
      </c>
      <c r="BR81" s="25"/>
      <c r="BS81" s="25"/>
      <c r="BT81" s="27" t="s">
        <v>74</v>
      </c>
    </row>
    <row r="82" spans="1:72" s="1" customFormat="1" ht="13.5" customHeight="1">
      <c r="A82" s="29" t="s">
        <v>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0" t="s">
        <v>9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</row>
    <row r="83" spans="1:72" s="1" customFormat="1" ht="15.75" customHeight="1">
      <c r="A83" s="12" t="s">
        <v>209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</row>
    <row r="84" spans="1:72" s="1" customFormat="1" ht="28.5" customHeight="1">
      <c r="A84" s="3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 t="s">
        <v>22</v>
      </c>
      <c r="N84" s="3"/>
      <c r="O84" s="3"/>
      <c r="P84" s="3" t="s">
        <v>23</v>
      </c>
      <c r="Q84" s="3"/>
      <c r="R84" s="3"/>
      <c r="S84" s="3"/>
      <c r="T84" s="3"/>
      <c r="U84" s="3" t="s">
        <v>24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 t="s">
        <v>39</v>
      </c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s="1" customFormat="1" ht="126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3" t="s">
        <v>25</v>
      </c>
      <c r="V85" s="13"/>
      <c r="W85" s="13"/>
      <c r="X85" s="13" t="s">
        <v>26</v>
      </c>
      <c r="Y85" s="13"/>
      <c r="Z85" s="13"/>
      <c r="AA85" s="13"/>
      <c r="AB85" s="13" t="s">
        <v>27</v>
      </c>
      <c r="AC85" s="13"/>
      <c r="AD85" s="13"/>
      <c r="AE85" s="14" t="s">
        <v>28</v>
      </c>
      <c r="AF85" s="14" t="s">
        <v>29</v>
      </c>
      <c r="AG85" s="13" t="s">
        <v>30</v>
      </c>
      <c r="AH85" s="13"/>
      <c r="AI85" s="13"/>
      <c r="AJ85" s="13" t="s">
        <v>31</v>
      </c>
      <c r="AK85" s="13"/>
      <c r="AL85" s="13" t="s">
        <v>32</v>
      </c>
      <c r="AM85" s="13"/>
      <c r="AN85" s="13" t="s">
        <v>33</v>
      </c>
      <c r="AO85" s="13"/>
      <c r="AP85" s="13" t="s">
        <v>34</v>
      </c>
      <c r="AQ85" s="13"/>
      <c r="AR85" s="13"/>
      <c r="AS85" s="14" t="s">
        <v>35</v>
      </c>
      <c r="AT85" s="13" t="s">
        <v>36</v>
      </c>
      <c r="AU85" s="13"/>
      <c r="AV85" s="13"/>
      <c r="AW85" s="13" t="s">
        <v>37</v>
      </c>
      <c r="AX85" s="13"/>
      <c r="AY85" s="13" t="s">
        <v>38</v>
      </c>
      <c r="AZ85" s="13"/>
      <c r="BA85" s="13" t="s">
        <v>25</v>
      </c>
      <c r="BB85" s="13"/>
      <c r="BC85" s="13"/>
      <c r="BD85" s="13" t="s">
        <v>26</v>
      </c>
      <c r="BE85" s="13"/>
      <c r="BF85" s="13" t="s">
        <v>27</v>
      </c>
      <c r="BG85" s="13"/>
      <c r="BH85" s="14" t="s">
        <v>28</v>
      </c>
      <c r="BI85" s="14" t="s">
        <v>29</v>
      </c>
      <c r="BJ85" s="14" t="s">
        <v>30</v>
      </c>
      <c r="BK85" s="14" t="s">
        <v>31</v>
      </c>
      <c r="BL85" s="14" t="s">
        <v>32</v>
      </c>
      <c r="BM85" s="14" t="s">
        <v>33</v>
      </c>
      <c r="BN85" s="14" t="s">
        <v>34</v>
      </c>
      <c r="BO85" s="14" t="s">
        <v>35</v>
      </c>
      <c r="BP85" s="14" t="s">
        <v>36</v>
      </c>
      <c r="BQ85" s="13" t="s">
        <v>37</v>
      </c>
      <c r="BR85" s="13"/>
      <c r="BS85" s="13"/>
      <c r="BT85" s="14" t="s">
        <v>38</v>
      </c>
    </row>
    <row r="86" spans="1:72" s="1" customFormat="1" ht="13.5" customHeight="1">
      <c r="A86" s="3" t="s">
        <v>40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 t="s">
        <v>41</v>
      </c>
      <c r="N86" s="3"/>
      <c r="O86" s="3"/>
      <c r="P86" s="3" t="s">
        <v>42</v>
      </c>
      <c r="Q86" s="3"/>
      <c r="R86" s="3"/>
      <c r="S86" s="3"/>
      <c r="T86" s="3"/>
      <c r="U86" s="3" t="s">
        <v>43</v>
      </c>
      <c r="V86" s="3"/>
      <c r="W86" s="3"/>
      <c r="X86" s="3" t="s">
        <v>44</v>
      </c>
      <c r="Y86" s="3"/>
      <c r="Z86" s="3"/>
      <c r="AA86" s="3"/>
      <c r="AB86" s="3" t="s">
        <v>45</v>
      </c>
      <c r="AC86" s="3"/>
      <c r="AD86" s="3"/>
      <c r="AE86" s="15" t="s">
        <v>46</v>
      </c>
      <c r="AF86" s="15" t="s">
        <v>47</v>
      </c>
      <c r="AG86" s="3" t="s">
        <v>48</v>
      </c>
      <c r="AH86" s="3"/>
      <c r="AI86" s="3"/>
      <c r="AJ86" s="3" t="s">
        <v>49</v>
      </c>
      <c r="AK86" s="3"/>
      <c r="AL86" s="3" t="s">
        <v>50</v>
      </c>
      <c r="AM86" s="3"/>
      <c r="AN86" s="3" t="s">
        <v>51</v>
      </c>
      <c r="AO86" s="3"/>
      <c r="AP86" s="3" t="s">
        <v>52</v>
      </c>
      <c r="AQ86" s="3"/>
      <c r="AR86" s="3"/>
      <c r="AS86" s="15" t="s">
        <v>53</v>
      </c>
      <c r="AT86" s="3" t="s">
        <v>54</v>
      </c>
      <c r="AU86" s="3"/>
      <c r="AV86" s="3"/>
      <c r="AW86" s="3" t="s">
        <v>55</v>
      </c>
      <c r="AX86" s="3"/>
      <c r="AY86" s="3" t="s">
        <v>56</v>
      </c>
      <c r="AZ86" s="3"/>
      <c r="BA86" s="3" t="s">
        <v>57</v>
      </c>
      <c r="BB86" s="3"/>
      <c r="BC86" s="3"/>
      <c r="BD86" s="3" t="s">
        <v>58</v>
      </c>
      <c r="BE86" s="3"/>
      <c r="BF86" s="3" t="s">
        <v>59</v>
      </c>
      <c r="BG86" s="3"/>
      <c r="BH86" s="15" t="s">
        <v>60</v>
      </c>
      <c r="BI86" s="15" t="s">
        <v>61</v>
      </c>
      <c r="BJ86" s="15" t="s">
        <v>62</v>
      </c>
      <c r="BK86" s="15" t="s">
        <v>63</v>
      </c>
      <c r="BL86" s="15" t="s">
        <v>64</v>
      </c>
      <c r="BM86" s="15" t="s">
        <v>65</v>
      </c>
      <c r="BN86" s="15" t="s">
        <v>66</v>
      </c>
      <c r="BO86" s="15" t="s">
        <v>67</v>
      </c>
      <c r="BP86" s="15" t="s">
        <v>68</v>
      </c>
      <c r="BQ86" s="3" t="s">
        <v>69</v>
      </c>
      <c r="BR86" s="3"/>
      <c r="BS86" s="3"/>
      <c r="BT86" s="15" t="s">
        <v>70</v>
      </c>
    </row>
    <row r="87" spans="1:72" s="1" customFormat="1" ht="24" customHeight="1">
      <c r="A87" s="16" t="s">
        <v>210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 t="s">
        <v>211</v>
      </c>
      <c r="N87" s="17"/>
      <c r="O87" s="17"/>
      <c r="P87" s="17" t="s">
        <v>73</v>
      </c>
      <c r="Q87" s="17"/>
      <c r="R87" s="17"/>
      <c r="S87" s="17"/>
      <c r="T87" s="17"/>
      <c r="U87" s="18">
        <f>48777121.43</f>
        <v>48777121.43</v>
      </c>
      <c r="V87" s="18"/>
      <c r="W87" s="18"/>
      <c r="X87" s="19" t="s">
        <v>74</v>
      </c>
      <c r="Y87" s="19"/>
      <c r="Z87" s="19"/>
      <c r="AA87" s="19"/>
      <c r="AB87" s="18">
        <f>48777121.43</f>
        <v>48777121.43</v>
      </c>
      <c r="AC87" s="18"/>
      <c r="AD87" s="18"/>
      <c r="AE87" s="20">
        <f>9831527.23</f>
        <v>9831527.23</v>
      </c>
      <c r="AF87" s="21" t="s">
        <v>74</v>
      </c>
      <c r="AG87" s="19" t="s">
        <v>74</v>
      </c>
      <c r="AH87" s="19"/>
      <c r="AI87" s="19"/>
      <c r="AJ87" s="19" t="s">
        <v>74</v>
      </c>
      <c r="AK87" s="19"/>
      <c r="AL87" s="19" t="s">
        <v>74</v>
      </c>
      <c r="AM87" s="19"/>
      <c r="AN87" s="19" t="s">
        <v>74</v>
      </c>
      <c r="AO87" s="19"/>
      <c r="AP87" s="19" t="s">
        <v>74</v>
      </c>
      <c r="AQ87" s="19"/>
      <c r="AR87" s="19"/>
      <c r="AS87" s="21" t="s">
        <v>74</v>
      </c>
      <c r="AT87" s="19" t="s">
        <v>74</v>
      </c>
      <c r="AU87" s="19"/>
      <c r="AV87" s="19"/>
      <c r="AW87" s="18">
        <f>58608648.66</f>
        <v>58608648.66</v>
      </c>
      <c r="AX87" s="18"/>
      <c r="AY87" s="19" t="s">
        <v>74</v>
      </c>
      <c r="AZ87" s="19"/>
      <c r="BA87" s="18">
        <f>33954737.8</f>
        <v>33954737.8</v>
      </c>
      <c r="BB87" s="18"/>
      <c r="BC87" s="18"/>
      <c r="BD87" s="19" t="s">
        <v>74</v>
      </c>
      <c r="BE87" s="19"/>
      <c r="BF87" s="18">
        <f>33954737.8</f>
        <v>33954737.8</v>
      </c>
      <c r="BG87" s="18"/>
      <c r="BH87" s="20">
        <f>550794.62</f>
        <v>550794.62</v>
      </c>
      <c r="BI87" s="21" t="s">
        <v>74</v>
      </c>
      <c r="BJ87" s="21" t="s">
        <v>74</v>
      </c>
      <c r="BK87" s="21" t="s">
        <v>74</v>
      </c>
      <c r="BL87" s="21" t="s">
        <v>74</v>
      </c>
      <c r="BM87" s="21" t="s">
        <v>74</v>
      </c>
      <c r="BN87" s="21" t="s">
        <v>74</v>
      </c>
      <c r="BO87" s="21" t="s">
        <v>74</v>
      </c>
      <c r="BP87" s="21" t="s">
        <v>74</v>
      </c>
      <c r="BQ87" s="18">
        <f>34505532.42</f>
        <v>34505532.42</v>
      </c>
      <c r="BR87" s="18"/>
      <c r="BS87" s="18"/>
      <c r="BT87" s="22" t="s">
        <v>74</v>
      </c>
    </row>
    <row r="88" spans="1:72" s="1" customFormat="1" ht="13.5" customHeight="1">
      <c r="A88" s="16" t="s">
        <v>212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211</v>
      </c>
      <c r="N88" s="23"/>
      <c r="O88" s="23"/>
      <c r="P88" s="31" t="s">
        <v>213</v>
      </c>
      <c r="Q88" s="31"/>
      <c r="R88" s="31"/>
      <c r="S88" s="31"/>
      <c r="T88" s="31"/>
      <c r="U88" s="24">
        <f>15762974.47</f>
        <v>15762974.47</v>
      </c>
      <c r="V88" s="24"/>
      <c r="W88" s="24"/>
      <c r="X88" s="25" t="s">
        <v>74</v>
      </c>
      <c r="Y88" s="25"/>
      <c r="Z88" s="25"/>
      <c r="AA88" s="25"/>
      <c r="AB88" s="24">
        <f>15762974.47</f>
        <v>15762974.47</v>
      </c>
      <c r="AC88" s="24"/>
      <c r="AD88" s="24"/>
      <c r="AE88" s="28">
        <f>185442.32</f>
        <v>185442.32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15948416.79</f>
        <v>15948416.79</v>
      </c>
      <c r="AX88" s="24"/>
      <c r="AY88" s="25" t="s">
        <v>74</v>
      </c>
      <c r="AZ88" s="25"/>
      <c r="BA88" s="24">
        <f>9102096.49</f>
        <v>9102096.49</v>
      </c>
      <c r="BB88" s="24"/>
      <c r="BC88" s="24"/>
      <c r="BD88" s="25" t="s">
        <v>74</v>
      </c>
      <c r="BE88" s="25"/>
      <c r="BF88" s="24">
        <f>9102096.49</f>
        <v>9102096.49</v>
      </c>
      <c r="BG88" s="24"/>
      <c r="BH88" s="28">
        <f>84519</f>
        <v>84519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9186615.49</f>
        <v>9186615.49</v>
      </c>
      <c r="BR88" s="24"/>
      <c r="BS88" s="24"/>
      <c r="BT88" s="27" t="s">
        <v>74</v>
      </c>
    </row>
    <row r="89" spans="1:72" s="1" customFormat="1" ht="33.75" customHeight="1">
      <c r="A89" s="16" t="s">
        <v>214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211</v>
      </c>
      <c r="N89" s="23"/>
      <c r="O89" s="23"/>
      <c r="P89" s="31" t="s">
        <v>215</v>
      </c>
      <c r="Q89" s="31"/>
      <c r="R89" s="31"/>
      <c r="S89" s="31"/>
      <c r="T89" s="31"/>
      <c r="U89" s="24">
        <f>2032276</f>
        <v>2032276</v>
      </c>
      <c r="V89" s="24"/>
      <c r="W89" s="24"/>
      <c r="X89" s="25" t="s">
        <v>74</v>
      </c>
      <c r="Y89" s="25"/>
      <c r="Z89" s="25"/>
      <c r="AA89" s="25"/>
      <c r="AB89" s="24">
        <f>2032276</f>
        <v>2032276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2032276</f>
        <v>2032276</v>
      </c>
      <c r="AX89" s="24"/>
      <c r="AY89" s="25" t="s">
        <v>74</v>
      </c>
      <c r="AZ89" s="25"/>
      <c r="BA89" s="24">
        <f>1208664.97</f>
        <v>1208664.97</v>
      </c>
      <c r="BB89" s="24"/>
      <c r="BC89" s="24"/>
      <c r="BD89" s="25" t="s">
        <v>74</v>
      </c>
      <c r="BE89" s="25"/>
      <c r="BF89" s="24">
        <f>1208664.97</f>
        <v>1208664.97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1208664.97</f>
        <v>1208664.97</v>
      </c>
      <c r="BR89" s="24"/>
      <c r="BS89" s="24"/>
      <c r="BT89" s="27" t="s">
        <v>74</v>
      </c>
    </row>
    <row r="90" spans="1:72" s="1" customFormat="1" ht="54.75" customHeight="1">
      <c r="A90" s="16" t="s">
        <v>216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211</v>
      </c>
      <c r="N90" s="23"/>
      <c r="O90" s="23"/>
      <c r="P90" s="31" t="s">
        <v>217</v>
      </c>
      <c r="Q90" s="31"/>
      <c r="R90" s="31"/>
      <c r="S90" s="31"/>
      <c r="T90" s="31"/>
      <c r="U90" s="24">
        <f>2032276</f>
        <v>2032276</v>
      </c>
      <c r="V90" s="24"/>
      <c r="W90" s="24"/>
      <c r="X90" s="25" t="s">
        <v>74</v>
      </c>
      <c r="Y90" s="25"/>
      <c r="Z90" s="25"/>
      <c r="AA90" s="25"/>
      <c r="AB90" s="24">
        <f>2032276</f>
        <v>2032276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2032276</f>
        <v>2032276</v>
      </c>
      <c r="AX90" s="24"/>
      <c r="AY90" s="25" t="s">
        <v>74</v>
      </c>
      <c r="AZ90" s="25"/>
      <c r="BA90" s="24">
        <f>1208664.97</f>
        <v>1208664.97</v>
      </c>
      <c r="BB90" s="24"/>
      <c r="BC90" s="24"/>
      <c r="BD90" s="25" t="s">
        <v>74</v>
      </c>
      <c r="BE90" s="25"/>
      <c r="BF90" s="24">
        <f>1208664.97</f>
        <v>1208664.97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1208664.97</f>
        <v>1208664.97</v>
      </c>
      <c r="BR90" s="24"/>
      <c r="BS90" s="24"/>
      <c r="BT90" s="27" t="s">
        <v>74</v>
      </c>
    </row>
    <row r="91" spans="1:72" s="1" customFormat="1" ht="24" customHeight="1">
      <c r="A91" s="16" t="s">
        <v>218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211</v>
      </c>
      <c r="N91" s="23"/>
      <c r="O91" s="23"/>
      <c r="P91" s="31" t="s">
        <v>219</v>
      </c>
      <c r="Q91" s="31"/>
      <c r="R91" s="31"/>
      <c r="S91" s="31"/>
      <c r="T91" s="31"/>
      <c r="U91" s="24">
        <f>2032276</f>
        <v>2032276</v>
      </c>
      <c r="V91" s="24"/>
      <c r="W91" s="24"/>
      <c r="X91" s="25" t="s">
        <v>74</v>
      </c>
      <c r="Y91" s="25"/>
      <c r="Z91" s="25"/>
      <c r="AA91" s="25"/>
      <c r="AB91" s="24">
        <f>2032276</f>
        <v>2032276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2032276</f>
        <v>2032276</v>
      </c>
      <c r="AX91" s="24"/>
      <c r="AY91" s="25" t="s">
        <v>74</v>
      </c>
      <c r="AZ91" s="25"/>
      <c r="BA91" s="24">
        <f>1208664.97</f>
        <v>1208664.97</v>
      </c>
      <c r="BB91" s="24"/>
      <c r="BC91" s="24"/>
      <c r="BD91" s="25" t="s">
        <v>74</v>
      </c>
      <c r="BE91" s="25"/>
      <c r="BF91" s="24">
        <f>1208664.97</f>
        <v>1208664.97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1208664.97</f>
        <v>1208664.97</v>
      </c>
      <c r="BR91" s="24"/>
      <c r="BS91" s="24"/>
      <c r="BT91" s="27" t="s">
        <v>74</v>
      </c>
    </row>
    <row r="92" spans="1:72" s="1" customFormat="1" ht="24" customHeight="1">
      <c r="A92" s="16" t="s">
        <v>220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211</v>
      </c>
      <c r="N92" s="23"/>
      <c r="O92" s="23"/>
      <c r="P92" s="31" t="s">
        <v>221</v>
      </c>
      <c r="Q92" s="31"/>
      <c r="R92" s="31"/>
      <c r="S92" s="31"/>
      <c r="T92" s="31"/>
      <c r="U92" s="24">
        <f>1560888</f>
        <v>1560888</v>
      </c>
      <c r="V92" s="24"/>
      <c r="W92" s="24"/>
      <c r="X92" s="25" t="s">
        <v>74</v>
      </c>
      <c r="Y92" s="25"/>
      <c r="Z92" s="25"/>
      <c r="AA92" s="25"/>
      <c r="AB92" s="24">
        <f>1560888</f>
        <v>1560888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1560888</f>
        <v>1560888</v>
      </c>
      <c r="AX92" s="24"/>
      <c r="AY92" s="25" t="s">
        <v>74</v>
      </c>
      <c r="AZ92" s="25"/>
      <c r="BA92" s="24">
        <f>942297.97</f>
        <v>942297.97</v>
      </c>
      <c r="BB92" s="24"/>
      <c r="BC92" s="24"/>
      <c r="BD92" s="25" t="s">
        <v>74</v>
      </c>
      <c r="BE92" s="25"/>
      <c r="BF92" s="24">
        <f>942297.97</f>
        <v>942297.97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942297.97</f>
        <v>942297.97</v>
      </c>
      <c r="BR92" s="24"/>
      <c r="BS92" s="24"/>
      <c r="BT92" s="27" t="s">
        <v>74</v>
      </c>
    </row>
    <row r="93" spans="1:72" s="1" customFormat="1" ht="33.75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211</v>
      </c>
      <c r="N93" s="23"/>
      <c r="O93" s="23"/>
      <c r="P93" s="31" t="s">
        <v>223</v>
      </c>
      <c r="Q93" s="31"/>
      <c r="R93" s="31"/>
      <c r="S93" s="31"/>
      <c r="T93" s="31"/>
      <c r="U93" s="24">
        <f>471388</f>
        <v>471388</v>
      </c>
      <c r="V93" s="24"/>
      <c r="W93" s="24"/>
      <c r="X93" s="25" t="s">
        <v>74</v>
      </c>
      <c r="Y93" s="25"/>
      <c r="Z93" s="25"/>
      <c r="AA93" s="25"/>
      <c r="AB93" s="24">
        <f>471388</f>
        <v>471388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471388</f>
        <v>471388</v>
      </c>
      <c r="AX93" s="24"/>
      <c r="AY93" s="25" t="s">
        <v>74</v>
      </c>
      <c r="AZ93" s="25"/>
      <c r="BA93" s="24">
        <f>266367</f>
        <v>266367</v>
      </c>
      <c r="BB93" s="24"/>
      <c r="BC93" s="24"/>
      <c r="BD93" s="25" t="s">
        <v>74</v>
      </c>
      <c r="BE93" s="25"/>
      <c r="BF93" s="24">
        <f>266367</f>
        <v>266367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266367</f>
        <v>266367</v>
      </c>
      <c r="BR93" s="24"/>
      <c r="BS93" s="24"/>
      <c r="BT93" s="27" t="s">
        <v>74</v>
      </c>
    </row>
    <row r="94" spans="1:72" s="1" customFormat="1" ht="45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211</v>
      </c>
      <c r="N94" s="23"/>
      <c r="O94" s="23"/>
      <c r="P94" s="31" t="s">
        <v>225</v>
      </c>
      <c r="Q94" s="31"/>
      <c r="R94" s="31"/>
      <c r="S94" s="31"/>
      <c r="T94" s="31"/>
      <c r="U94" s="24">
        <f>6545281.68</f>
        <v>6545281.68</v>
      </c>
      <c r="V94" s="24"/>
      <c r="W94" s="24"/>
      <c r="X94" s="25" t="s">
        <v>74</v>
      </c>
      <c r="Y94" s="25"/>
      <c r="Z94" s="25"/>
      <c r="AA94" s="25"/>
      <c r="AB94" s="24">
        <f>6545281.68</f>
        <v>6545281.68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6545281.68</f>
        <v>6545281.68</v>
      </c>
      <c r="AX94" s="24"/>
      <c r="AY94" s="25" t="s">
        <v>74</v>
      </c>
      <c r="AZ94" s="25"/>
      <c r="BA94" s="24">
        <f>3605658.88</f>
        <v>3605658.88</v>
      </c>
      <c r="BB94" s="24"/>
      <c r="BC94" s="24"/>
      <c r="BD94" s="25" t="s">
        <v>74</v>
      </c>
      <c r="BE94" s="25"/>
      <c r="BF94" s="24">
        <f>3605658.88</f>
        <v>3605658.88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3605658.88</f>
        <v>3605658.88</v>
      </c>
      <c r="BR94" s="24"/>
      <c r="BS94" s="24"/>
      <c r="BT94" s="27" t="s">
        <v>74</v>
      </c>
    </row>
    <row r="95" spans="1:72" s="1" customFormat="1" ht="54.75" customHeight="1">
      <c r="A95" s="16" t="s">
        <v>216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211</v>
      </c>
      <c r="N95" s="23"/>
      <c r="O95" s="23"/>
      <c r="P95" s="31" t="s">
        <v>226</v>
      </c>
      <c r="Q95" s="31"/>
      <c r="R95" s="31"/>
      <c r="S95" s="31"/>
      <c r="T95" s="31"/>
      <c r="U95" s="24">
        <f>5244763</f>
        <v>5244763</v>
      </c>
      <c r="V95" s="24"/>
      <c r="W95" s="24"/>
      <c r="X95" s="25" t="s">
        <v>74</v>
      </c>
      <c r="Y95" s="25"/>
      <c r="Z95" s="25"/>
      <c r="AA95" s="25"/>
      <c r="AB95" s="24">
        <f>5244763</f>
        <v>5244763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5244763</f>
        <v>5244763</v>
      </c>
      <c r="AX95" s="24"/>
      <c r="AY95" s="25" t="s">
        <v>74</v>
      </c>
      <c r="AZ95" s="25"/>
      <c r="BA95" s="24">
        <f>2942614.94</f>
        <v>2942614.94</v>
      </c>
      <c r="BB95" s="24"/>
      <c r="BC95" s="24"/>
      <c r="BD95" s="25" t="s">
        <v>74</v>
      </c>
      <c r="BE95" s="25"/>
      <c r="BF95" s="24">
        <f>2942614.94</f>
        <v>2942614.94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2942614.94</f>
        <v>2942614.94</v>
      </c>
      <c r="BR95" s="24"/>
      <c r="BS95" s="24"/>
      <c r="BT95" s="27" t="s">
        <v>74</v>
      </c>
    </row>
    <row r="96" spans="1:72" s="1" customFormat="1" ht="24" customHeight="1">
      <c r="A96" s="16" t="s">
        <v>218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211</v>
      </c>
      <c r="N96" s="23"/>
      <c r="O96" s="23"/>
      <c r="P96" s="31" t="s">
        <v>227</v>
      </c>
      <c r="Q96" s="31"/>
      <c r="R96" s="31"/>
      <c r="S96" s="31"/>
      <c r="T96" s="31"/>
      <c r="U96" s="24">
        <f>5244763</f>
        <v>5244763</v>
      </c>
      <c r="V96" s="24"/>
      <c r="W96" s="24"/>
      <c r="X96" s="25" t="s">
        <v>74</v>
      </c>
      <c r="Y96" s="25"/>
      <c r="Z96" s="25"/>
      <c r="AA96" s="25"/>
      <c r="AB96" s="24">
        <f>5244763</f>
        <v>5244763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5244763</f>
        <v>5244763</v>
      </c>
      <c r="AX96" s="24"/>
      <c r="AY96" s="25" t="s">
        <v>74</v>
      </c>
      <c r="AZ96" s="25"/>
      <c r="BA96" s="24">
        <f>2942614.94</f>
        <v>2942614.94</v>
      </c>
      <c r="BB96" s="24"/>
      <c r="BC96" s="24"/>
      <c r="BD96" s="25" t="s">
        <v>74</v>
      </c>
      <c r="BE96" s="25"/>
      <c r="BF96" s="24">
        <f>2942614.94</f>
        <v>2942614.94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2942614.94</f>
        <v>2942614.94</v>
      </c>
      <c r="BR96" s="24"/>
      <c r="BS96" s="24"/>
      <c r="BT96" s="27" t="s">
        <v>74</v>
      </c>
    </row>
    <row r="97" spans="1:72" s="1" customFormat="1" ht="24" customHeight="1">
      <c r="A97" s="16" t="s">
        <v>220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211</v>
      </c>
      <c r="N97" s="23"/>
      <c r="O97" s="23"/>
      <c r="P97" s="31" t="s">
        <v>228</v>
      </c>
      <c r="Q97" s="31"/>
      <c r="R97" s="31"/>
      <c r="S97" s="31"/>
      <c r="T97" s="31"/>
      <c r="U97" s="24">
        <f>4028236</f>
        <v>4028236</v>
      </c>
      <c r="V97" s="24"/>
      <c r="W97" s="24"/>
      <c r="X97" s="25" t="s">
        <v>74</v>
      </c>
      <c r="Y97" s="25"/>
      <c r="Z97" s="25"/>
      <c r="AA97" s="25"/>
      <c r="AB97" s="24">
        <f>4028236</f>
        <v>4028236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4028236</f>
        <v>4028236</v>
      </c>
      <c r="AX97" s="24"/>
      <c r="AY97" s="25" t="s">
        <v>74</v>
      </c>
      <c r="AZ97" s="25"/>
      <c r="BA97" s="24">
        <f>2314024.94</f>
        <v>2314024.94</v>
      </c>
      <c r="BB97" s="24"/>
      <c r="BC97" s="24"/>
      <c r="BD97" s="25" t="s">
        <v>74</v>
      </c>
      <c r="BE97" s="25"/>
      <c r="BF97" s="24">
        <f>2314024.94</f>
        <v>2314024.94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2314024.94</f>
        <v>2314024.94</v>
      </c>
      <c r="BR97" s="24"/>
      <c r="BS97" s="24"/>
      <c r="BT97" s="27" t="s">
        <v>74</v>
      </c>
    </row>
    <row r="98" spans="1:72" s="1" customFormat="1" ht="33.75" customHeight="1">
      <c r="A98" s="16" t="s">
        <v>222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211</v>
      </c>
      <c r="N98" s="23"/>
      <c r="O98" s="23"/>
      <c r="P98" s="31" t="s">
        <v>229</v>
      </c>
      <c r="Q98" s="31"/>
      <c r="R98" s="31"/>
      <c r="S98" s="31"/>
      <c r="T98" s="31"/>
      <c r="U98" s="24">
        <f>1216527</f>
        <v>1216527</v>
      </c>
      <c r="V98" s="24"/>
      <c r="W98" s="24"/>
      <c r="X98" s="25" t="s">
        <v>74</v>
      </c>
      <c r="Y98" s="25"/>
      <c r="Z98" s="25"/>
      <c r="AA98" s="25"/>
      <c r="AB98" s="24">
        <f>1216527</f>
        <v>1216527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1216527</f>
        <v>1216527</v>
      </c>
      <c r="AX98" s="24"/>
      <c r="AY98" s="25" t="s">
        <v>74</v>
      </c>
      <c r="AZ98" s="25"/>
      <c r="BA98" s="24">
        <f>628590</f>
        <v>628590</v>
      </c>
      <c r="BB98" s="24"/>
      <c r="BC98" s="24"/>
      <c r="BD98" s="25" t="s">
        <v>74</v>
      </c>
      <c r="BE98" s="25"/>
      <c r="BF98" s="24">
        <f>628590</f>
        <v>628590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628590</f>
        <v>628590</v>
      </c>
      <c r="BR98" s="24"/>
      <c r="BS98" s="24"/>
      <c r="BT98" s="27" t="s">
        <v>74</v>
      </c>
    </row>
    <row r="99" spans="1:72" s="1" customFormat="1" ht="24" customHeight="1">
      <c r="A99" s="16" t="s">
        <v>230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211</v>
      </c>
      <c r="N99" s="23"/>
      <c r="O99" s="23"/>
      <c r="P99" s="31" t="s">
        <v>231</v>
      </c>
      <c r="Q99" s="31"/>
      <c r="R99" s="31"/>
      <c r="S99" s="31"/>
      <c r="T99" s="31"/>
      <c r="U99" s="24">
        <f>1244518.68</f>
        <v>1244518.68</v>
      </c>
      <c r="V99" s="24"/>
      <c r="W99" s="24"/>
      <c r="X99" s="25" t="s">
        <v>74</v>
      </c>
      <c r="Y99" s="25"/>
      <c r="Z99" s="25"/>
      <c r="AA99" s="25"/>
      <c r="AB99" s="24">
        <f>1244518.68</f>
        <v>1244518.68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1244518.68</f>
        <v>1244518.68</v>
      </c>
      <c r="AX99" s="24"/>
      <c r="AY99" s="25" t="s">
        <v>74</v>
      </c>
      <c r="AZ99" s="25"/>
      <c r="BA99" s="24">
        <f>635519.94</f>
        <v>635519.94</v>
      </c>
      <c r="BB99" s="24"/>
      <c r="BC99" s="24"/>
      <c r="BD99" s="25" t="s">
        <v>74</v>
      </c>
      <c r="BE99" s="25"/>
      <c r="BF99" s="24">
        <f>635519.94</f>
        <v>635519.94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635519.94</f>
        <v>635519.94</v>
      </c>
      <c r="BR99" s="24"/>
      <c r="BS99" s="24"/>
      <c r="BT99" s="27" t="s">
        <v>74</v>
      </c>
    </row>
    <row r="100" spans="1:72" s="1" customFormat="1" ht="24" customHeight="1">
      <c r="A100" s="16" t="s">
        <v>232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211</v>
      </c>
      <c r="N100" s="23"/>
      <c r="O100" s="23"/>
      <c r="P100" s="31" t="s">
        <v>233</v>
      </c>
      <c r="Q100" s="31"/>
      <c r="R100" s="31"/>
      <c r="S100" s="31"/>
      <c r="T100" s="31"/>
      <c r="U100" s="24">
        <f>1244518.68</f>
        <v>1244518.68</v>
      </c>
      <c r="V100" s="24"/>
      <c r="W100" s="24"/>
      <c r="X100" s="25" t="s">
        <v>74</v>
      </c>
      <c r="Y100" s="25"/>
      <c r="Z100" s="25"/>
      <c r="AA100" s="25"/>
      <c r="AB100" s="24">
        <f>1244518.68</f>
        <v>1244518.68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1244518.68</f>
        <v>1244518.68</v>
      </c>
      <c r="AX100" s="24"/>
      <c r="AY100" s="25" t="s">
        <v>74</v>
      </c>
      <c r="AZ100" s="25"/>
      <c r="BA100" s="24">
        <f>635519.94</f>
        <v>635519.94</v>
      </c>
      <c r="BB100" s="24"/>
      <c r="BC100" s="24"/>
      <c r="BD100" s="25" t="s">
        <v>74</v>
      </c>
      <c r="BE100" s="25"/>
      <c r="BF100" s="24">
        <f>635519.94</f>
        <v>635519.94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635519.94</f>
        <v>635519.94</v>
      </c>
      <c r="BR100" s="24"/>
      <c r="BS100" s="24"/>
      <c r="BT100" s="27" t="s">
        <v>74</v>
      </c>
    </row>
    <row r="101" spans="1:72" s="1" customFormat="1" ht="13.5" customHeight="1">
      <c r="A101" s="16" t="s">
        <v>234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211</v>
      </c>
      <c r="N101" s="23"/>
      <c r="O101" s="23"/>
      <c r="P101" s="31" t="s">
        <v>235</v>
      </c>
      <c r="Q101" s="31"/>
      <c r="R101" s="31"/>
      <c r="S101" s="31"/>
      <c r="T101" s="31"/>
      <c r="U101" s="24">
        <f>1039115.68</f>
        <v>1039115.68</v>
      </c>
      <c r="V101" s="24"/>
      <c r="W101" s="24"/>
      <c r="X101" s="25" t="s">
        <v>74</v>
      </c>
      <c r="Y101" s="25"/>
      <c r="Z101" s="25"/>
      <c r="AA101" s="25"/>
      <c r="AB101" s="24">
        <f>1039115.68</f>
        <v>1039115.68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1039115.68</f>
        <v>1039115.68</v>
      </c>
      <c r="AX101" s="24"/>
      <c r="AY101" s="25" t="s">
        <v>74</v>
      </c>
      <c r="AZ101" s="25"/>
      <c r="BA101" s="24">
        <f>524169.87</f>
        <v>524169.87</v>
      </c>
      <c r="BB101" s="24"/>
      <c r="BC101" s="24"/>
      <c r="BD101" s="25" t="s">
        <v>74</v>
      </c>
      <c r="BE101" s="25"/>
      <c r="BF101" s="24">
        <f>524169.87</f>
        <v>524169.87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524169.87</f>
        <v>524169.87</v>
      </c>
      <c r="BR101" s="24"/>
      <c r="BS101" s="24"/>
      <c r="BT101" s="27" t="s">
        <v>74</v>
      </c>
    </row>
    <row r="102" spans="1:72" s="1" customFormat="1" ht="13.5" customHeight="1">
      <c r="A102" s="16" t="s">
        <v>236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211</v>
      </c>
      <c r="N102" s="23"/>
      <c r="O102" s="23"/>
      <c r="P102" s="31" t="s">
        <v>237</v>
      </c>
      <c r="Q102" s="31"/>
      <c r="R102" s="31"/>
      <c r="S102" s="31"/>
      <c r="T102" s="31"/>
      <c r="U102" s="24">
        <f>205403</f>
        <v>205403</v>
      </c>
      <c r="V102" s="24"/>
      <c r="W102" s="24"/>
      <c r="X102" s="25" t="s">
        <v>74</v>
      </c>
      <c r="Y102" s="25"/>
      <c r="Z102" s="25"/>
      <c r="AA102" s="25"/>
      <c r="AB102" s="24">
        <f>205403</f>
        <v>205403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205403</f>
        <v>205403</v>
      </c>
      <c r="AX102" s="24"/>
      <c r="AY102" s="25" t="s">
        <v>74</v>
      </c>
      <c r="AZ102" s="25"/>
      <c r="BA102" s="24">
        <f>111350.07</f>
        <v>111350.07</v>
      </c>
      <c r="BB102" s="24"/>
      <c r="BC102" s="24"/>
      <c r="BD102" s="25" t="s">
        <v>74</v>
      </c>
      <c r="BE102" s="25"/>
      <c r="BF102" s="24">
        <f>111350.07</f>
        <v>111350.07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111350.07</f>
        <v>111350.07</v>
      </c>
      <c r="BR102" s="24"/>
      <c r="BS102" s="24"/>
      <c r="BT102" s="27" t="s">
        <v>74</v>
      </c>
    </row>
    <row r="103" spans="1:72" s="1" customFormat="1" ht="13.5" customHeight="1">
      <c r="A103" s="16" t="s">
        <v>238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211</v>
      </c>
      <c r="N103" s="23"/>
      <c r="O103" s="23"/>
      <c r="P103" s="31" t="s">
        <v>239</v>
      </c>
      <c r="Q103" s="31"/>
      <c r="R103" s="31"/>
      <c r="S103" s="31"/>
      <c r="T103" s="31"/>
      <c r="U103" s="24">
        <f>56000</f>
        <v>56000</v>
      </c>
      <c r="V103" s="24"/>
      <c r="W103" s="24"/>
      <c r="X103" s="25" t="s">
        <v>74</v>
      </c>
      <c r="Y103" s="25"/>
      <c r="Z103" s="25"/>
      <c r="AA103" s="25"/>
      <c r="AB103" s="24">
        <f>56000</f>
        <v>56000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56000</f>
        <v>56000</v>
      </c>
      <c r="AX103" s="24"/>
      <c r="AY103" s="25" t="s">
        <v>74</v>
      </c>
      <c r="AZ103" s="25"/>
      <c r="BA103" s="24">
        <f>27524</f>
        <v>27524</v>
      </c>
      <c r="BB103" s="24"/>
      <c r="BC103" s="24"/>
      <c r="BD103" s="25" t="s">
        <v>74</v>
      </c>
      <c r="BE103" s="25"/>
      <c r="BF103" s="24">
        <f>27524</f>
        <v>27524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27524</f>
        <v>27524</v>
      </c>
      <c r="BR103" s="24"/>
      <c r="BS103" s="24"/>
      <c r="BT103" s="27" t="s">
        <v>74</v>
      </c>
    </row>
    <row r="104" spans="1:72" s="1" customFormat="1" ht="13.5" customHeight="1">
      <c r="A104" s="16" t="s">
        <v>240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211</v>
      </c>
      <c r="N104" s="23"/>
      <c r="O104" s="23"/>
      <c r="P104" s="31" t="s">
        <v>241</v>
      </c>
      <c r="Q104" s="31"/>
      <c r="R104" s="31"/>
      <c r="S104" s="31"/>
      <c r="T104" s="31"/>
      <c r="U104" s="24">
        <f>56000</f>
        <v>56000</v>
      </c>
      <c r="V104" s="24"/>
      <c r="W104" s="24"/>
      <c r="X104" s="25" t="s">
        <v>74</v>
      </c>
      <c r="Y104" s="25"/>
      <c r="Z104" s="25"/>
      <c r="AA104" s="25"/>
      <c r="AB104" s="24">
        <f>56000</f>
        <v>56000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56000</f>
        <v>56000</v>
      </c>
      <c r="AX104" s="24"/>
      <c r="AY104" s="25" t="s">
        <v>74</v>
      </c>
      <c r="AZ104" s="25"/>
      <c r="BA104" s="24">
        <f>27524</f>
        <v>27524</v>
      </c>
      <c r="BB104" s="24"/>
      <c r="BC104" s="24"/>
      <c r="BD104" s="25" t="s">
        <v>74</v>
      </c>
      <c r="BE104" s="25"/>
      <c r="BF104" s="24">
        <f>27524</f>
        <v>27524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27524</f>
        <v>27524</v>
      </c>
      <c r="BR104" s="24"/>
      <c r="BS104" s="24"/>
      <c r="BT104" s="27" t="s">
        <v>74</v>
      </c>
    </row>
    <row r="105" spans="1:72" s="1" customFormat="1" ht="24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211</v>
      </c>
      <c r="N105" s="23"/>
      <c r="O105" s="23"/>
      <c r="P105" s="31" t="s">
        <v>243</v>
      </c>
      <c r="Q105" s="31"/>
      <c r="R105" s="31"/>
      <c r="S105" s="31"/>
      <c r="T105" s="31"/>
      <c r="U105" s="24">
        <f>54000</f>
        <v>54000</v>
      </c>
      <c r="V105" s="24"/>
      <c r="W105" s="24"/>
      <c r="X105" s="25" t="s">
        <v>74</v>
      </c>
      <c r="Y105" s="25"/>
      <c r="Z105" s="25"/>
      <c r="AA105" s="25"/>
      <c r="AB105" s="24">
        <f>54000</f>
        <v>54000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54000</f>
        <v>54000</v>
      </c>
      <c r="AX105" s="24"/>
      <c r="AY105" s="25" t="s">
        <v>74</v>
      </c>
      <c r="AZ105" s="25"/>
      <c r="BA105" s="24">
        <f>27524</f>
        <v>27524</v>
      </c>
      <c r="BB105" s="24"/>
      <c r="BC105" s="24"/>
      <c r="BD105" s="25" t="s">
        <v>74</v>
      </c>
      <c r="BE105" s="25"/>
      <c r="BF105" s="24">
        <f>27524</f>
        <v>27524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27524</f>
        <v>27524</v>
      </c>
      <c r="BR105" s="24"/>
      <c r="BS105" s="24"/>
      <c r="BT105" s="27" t="s">
        <v>74</v>
      </c>
    </row>
    <row r="106" spans="1:72" s="1" customFormat="1" ht="13.5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211</v>
      </c>
      <c r="N106" s="23"/>
      <c r="O106" s="23"/>
      <c r="P106" s="31" t="s">
        <v>245</v>
      </c>
      <c r="Q106" s="31"/>
      <c r="R106" s="31"/>
      <c r="S106" s="31"/>
      <c r="T106" s="31"/>
      <c r="U106" s="24">
        <f>2000</f>
        <v>2000</v>
      </c>
      <c r="V106" s="24"/>
      <c r="W106" s="24"/>
      <c r="X106" s="25" t="s">
        <v>74</v>
      </c>
      <c r="Y106" s="25"/>
      <c r="Z106" s="25"/>
      <c r="AA106" s="25"/>
      <c r="AB106" s="24">
        <f>2000</f>
        <v>2000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2000</f>
        <v>2000</v>
      </c>
      <c r="AX106" s="24"/>
      <c r="AY106" s="25" t="s">
        <v>74</v>
      </c>
      <c r="AZ106" s="25"/>
      <c r="BA106" s="25" t="s">
        <v>74</v>
      </c>
      <c r="BB106" s="25"/>
      <c r="BC106" s="25"/>
      <c r="BD106" s="25" t="s">
        <v>74</v>
      </c>
      <c r="BE106" s="25"/>
      <c r="BF106" s="25" t="s">
        <v>74</v>
      </c>
      <c r="BG106" s="25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5" t="s">
        <v>74</v>
      </c>
      <c r="BR106" s="25"/>
      <c r="BS106" s="25"/>
      <c r="BT106" s="27" t="s">
        <v>74</v>
      </c>
    </row>
    <row r="107" spans="1:72" s="1" customFormat="1" ht="33.75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211</v>
      </c>
      <c r="N107" s="23"/>
      <c r="O107" s="23"/>
      <c r="P107" s="31" t="s">
        <v>247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74</v>
      </c>
      <c r="Y107" s="25"/>
      <c r="Z107" s="25"/>
      <c r="AA107" s="25"/>
      <c r="AB107" s="24">
        <f>0</f>
        <v>0</v>
      </c>
      <c r="AC107" s="24"/>
      <c r="AD107" s="24"/>
      <c r="AE107" s="28">
        <f>112692</f>
        <v>112692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112692</f>
        <v>112692</v>
      </c>
      <c r="AX107" s="24"/>
      <c r="AY107" s="25" t="s">
        <v>74</v>
      </c>
      <c r="AZ107" s="25"/>
      <c r="BA107" s="24">
        <f>0</f>
        <v>0</v>
      </c>
      <c r="BB107" s="24"/>
      <c r="BC107" s="24"/>
      <c r="BD107" s="25" t="s">
        <v>74</v>
      </c>
      <c r="BE107" s="25"/>
      <c r="BF107" s="24">
        <f>0</f>
        <v>0</v>
      </c>
      <c r="BG107" s="24"/>
      <c r="BH107" s="28">
        <f>84519</f>
        <v>84519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84519</f>
        <v>84519</v>
      </c>
      <c r="BR107" s="24"/>
      <c r="BS107" s="24"/>
      <c r="BT107" s="27" t="s">
        <v>74</v>
      </c>
    </row>
    <row r="108" spans="1:72" s="1" customFormat="1" ht="13.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211</v>
      </c>
      <c r="N108" s="23"/>
      <c r="O108" s="23"/>
      <c r="P108" s="31" t="s">
        <v>249</v>
      </c>
      <c r="Q108" s="31"/>
      <c r="R108" s="31"/>
      <c r="S108" s="31"/>
      <c r="T108" s="31"/>
      <c r="U108" s="24">
        <f>0</f>
        <v>0</v>
      </c>
      <c r="V108" s="24"/>
      <c r="W108" s="24"/>
      <c r="X108" s="25" t="s">
        <v>74</v>
      </c>
      <c r="Y108" s="25"/>
      <c r="Z108" s="25"/>
      <c r="AA108" s="25"/>
      <c r="AB108" s="24">
        <f>0</f>
        <v>0</v>
      </c>
      <c r="AC108" s="24"/>
      <c r="AD108" s="24"/>
      <c r="AE108" s="28">
        <f>112692</f>
        <v>112692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112692</f>
        <v>112692</v>
      </c>
      <c r="AX108" s="24"/>
      <c r="AY108" s="25" t="s">
        <v>74</v>
      </c>
      <c r="AZ108" s="25"/>
      <c r="BA108" s="24">
        <f>0</f>
        <v>0</v>
      </c>
      <c r="BB108" s="24"/>
      <c r="BC108" s="24"/>
      <c r="BD108" s="25" t="s">
        <v>74</v>
      </c>
      <c r="BE108" s="25"/>
      <c r="BF108" s="24">
        <f>0</f>
        <v>0</v>
      </c>
      <c r="BG108" s="24"/>
      <c r="BH108" s="28">
        <f>84519</f>
        <v>84519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84519</f>
        <v>84519</v>
      </c>
      <c r="BR108" s="24"/>
      <c r="BS108" s="24"/>
      <c r="BT108" s="27" t="s">
        <v>74</v>
      </c>
    </row>
    <row r="109" spans="1:72" s="1" customFormat="1" ht="13.5" customHeight="1">
      <c r="A109" s="16" t="s">
        <v>198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211</v>
      </c>
      <c r="N109" s="23"/>
      <c r="O109" s="23"/>
      <c r="P109" s="31" t="s">
        <v>250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112692</f>
        <v>112692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112692</f>
        <v>112692</v>
      </c>
      <c r="AX109" s="24"/>
      <c r="AY109" s="25" t="s">
        <v>74</v>
      </c>
      <c r="AZ109" s="25"/>
      <c r="BA109" s="24">
        <f>0</f>
        <v>0</v>
      </c>
      <c r="BB109" s="24"/>
      <c r="BC109" s="24"/>
      <c r="BD109" s="25" t="s">
        <v>74</v>
      </c>
      <c r="BE109" s="25"/>
      <c r="BF109" s="24">
        <f>0</f>
        <v>0</v>
      </c>
      <c r="BG109" s="24"/>
      <c r="BH109" s="28">
        <f>84519</f>
        <v>84519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84519</f>
        <v>84519</v>
      </c>
      <c r="BR109" s="24"/>
      <c r="BS109" s="24"/>
      <c r="BT109" s="27" t="s">
        <v>74</v>
      </c>
    </row>
    <row r="110" spans="1:72" s="1" customFormat="1" ht="13.5" customHeight="1">
      <c r="A110" s="16" t="s">
        <v>251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211</v>
      </c>
      <c r="N110" s="23"/>
      <c r="O110" s="23"/>
      <c r="P110" s="31" t="s">
        <v>252</v>
      </c>
      <c r="Q110" s="31"/>
      <c r="R110" s="31"/>
      <c r="S110" s="31"/>
      <c r="T110" s="31"/>
      <c r="U110" s="24">
        <f>1128100</f>
        <v>1128100</v>
      </c>
      <c r="V110" s="24"/>
      <c r="W110" s="24"/>
      <c r="X110" s="25" t="s">
        <v>74</v>
      </c>
      <c r="Y110" s="25"/>
      <c r="Z110" s="25"/>
      <c r="AA110" s="25"/>
      <c r="AB110" s="24">
        <f>1128100</f>
        <v>1128100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1128100</f>
        <v>1128100</v>
      </c>
      <c r="AX110" s="24"/>
      <c r="AY110" s="25" t="s">
        <v>74</v>
      </c>
      <c r="AZ110" s="25"/>
      <c r="BA110" s="24">
        <f>1128100</f>
        <v>1128100</v>
      </c>
      <c r="BB110" s="24"/>
      <c r="BC110" s="24"/>
      <c r="BD110" s="25" t="s">
        <v>74</v>
      </c>
      <c r="BE110" s="25"/>
      <c r="BF110" s="24">
        <f>1128100</f>
        <v>1128100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1128100</f>
        <v>1128100</v>
      </c>
      <c r="BR110" s="24"/>
      <c r="BS110" s="24"/>
      <c r="BT110" s="27" t="s">
        <v>74</v>
      </c>
    </row>
    <row r="111" spans="1:72" s="1" customFormat="1" ht="13.5" customHeight="1">
      <c r="A111" s="16" t="s">
        <v>238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211</v>
      </c>
      <c r="N111" s="23"/>
      <c r="O111" s="23"/>
      <c r="P111" s="31" t="s">
        <v>253</v>
      </c>
      <c r="Q111" s="31"/>
      <c r="R111" s="31"/>
      <c r="S111" s="31"/>
      <c r="T111" s="31"/>
      <c r="U111" s="24">
        <f>1128100</f>
        <v>1128100</v>
      </c>
      <c r="V111" s="24"/>
      <c r="W111" s="24"/>
      <c r="X111" s="25" t="s">
        <v>74</v>
      </c>
      <c r="Y111" s="25"/>
      <c r="Z111" s="25"/>
      <c r="AA111" s="25"/>
      <c r="AB111" s="24">
        <f>1128100</f>
        <v>1128100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1128100</f>
        <v>1128100</v>
      </c>
      <c r="AX111" s="24"/>
      <c r="AY111" s="25" t="s">
        <v>74</v>
      </c>
      <c r="AZ111" s="25"/>
      <c r="BA111" s="24">
        <f>1128100</f>
        <v>1128100</v>
      </c>
      <c r="BB111" s="24"/>
      <c r="BC111" s="24"/>
      <c r="BD111" s="25" t="s">
        <v>74</v>
      </c>
      <c r="BE111" s="25"/>
      <c r="BF111" s="24">
        <f>1128100</f>
        <v>1128100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1128100</f>
        <v>1128100</v>
      </c>
      <c r="BR111" s="24"/>
      <c r="BS111" s="24"/>
      <c r="BT111" s="27" t="s">
        <v>74</v>
      </c>
    </row>
    <row r="112" spans="1:72" s="1" customFormat="1" ht="13.5" customHeight="1">
      <c r="A112" s="16" t="s">
        <v>254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211</v>
      </c>
      <c r="N112" s="23"/>
      <c r="O112" s="23"/>
      <c r="P112" s="31" t="s">
        <v>255</v>
      </c>
      <c r="Q112" s="31"/>
      <c r="R112" s="31"/>
      <c r="S112" s="31"/>
      <c r="T112" s="31"/>
      <c r="U112" s="24">
        <f>1128100</f>
        <v>1128100</v>
      </c>
      <c r="V112" s="24"/>
      <c r="W112" s="24"/>
      <c r="X112" s="25" t="s">
        <v>74</v>
      </c>
      <c r="Y112" s="25"/>
      <c r="Z112" s="25"/>
      <c r="AA112" s="25"/>
      <c r="AB112" s="24">
        <f>1128100</f>
        <v>1128100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1128100</f>
        <v>1128100</v>
      </c>
      <c r="AX112" s="24"/>
      <c r="AY112" s="25" t="s">
        <v>74</v>
      </c>
      <c r="AZ112" s="25"/>
      <c r="BA112" s="24">
        <f>1128100</f>
        <v>1128100</v>
      </c>
      <c r="BB112" s="24"/>
      <c r="BC112" s="24"/>
      <c r="BD112" s="25" t="s">
        <v>74</v>
      </c>
      <c r="BE112" s="25"/>
      <c r="BF112" s="24">
        <f>1128100</f>
        <v>1128100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1128100</f>
        <v>1128100</v>
      </c>
      <c r="BR112" s="24"/>
      <c r="BS112" s="24"/>
      <c r="BT112" s="27" t="s">
        <v>74</v>
      </c>
    </row>
    <row r="113" spans="1:72" s="1" customFormat="1" ht="13.5" customHeight="1">
      <c r="A113" s="16" t="s">
        <v>256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211</v>
      </c>
      <c r="N113" s="23"/>
      <c r="O113" s="23"/>
      <c r="P113" s="31" t="s">
        <v>257</v>
      </c>
      <c r="Q113" s="31"/>
      <c r="R113" s="31"/>
      <c r="S113" s="31"/>
      <c r="T113" s="31"/>
      <c r="U113" s="24">
        <f>53647</f>
        <v>53647</v>
      </c>
      <c r="V113" s="24"/>
      <c r="W113" s="24"/>
      <c r="X113" s="25" t="s">
        <v>74</v>
      </c>
      <c r="Y113" s="25"/>
      <c r="Z113" s="25"/>
      <c r="AA113" s="25"/>
      <c r="AB113" s="24">
        <f>53647</f>
        <v>53647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53647</f>
        <v>53647</v>
      </c>
      <c r="AX113" s="24"/>
      <c r="AY113" s="25" t="s">
        <v>74</v>
      </c>
      <c r="AZ113" s="25"/>
      <c r="BA113" s="25" t="s">
        <v>74</v>
      </c>
      <c r="BB113" s="25"/>
      <c r="BC113" s="25"/>
      <c r="BD113" s="25" t="s">
        <v>74</v>
      </c>
      <c r="BE113" s="25"/>
      <c r="BF113" s="25" t="s">
        <v>74</v>
      </c>
      <c r="BG113" s="25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5" t="s">
        <v>74</v>
      </c>
      <c r="BR113" s="25"/>
      <c r="BS113" s="25"/>
      <c r="BT113" s="27" t="s">
        <v>74</v>
      </c>
    </row>
    <row r="114" spans="1:72" s="1" customFormat="1" ht="13.5" customHeight="1">
      <c r="A114" s="16" t="s">
        <v>238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211</v>
      </c>
      <c r="N114" s="23"/>
      <c r="O114" s="23"/>
      <c r="P114" s="31" t="s">
        <v>258</v>
      </c>
      <c r="Q114" s="31"/>
      <c r="R114" s="31"/>
      <c r="S114" s="31"/>
      <c r="T114" s="31"/>
      <c r="U114" s="24">
        <f>53647</f>
        <v>53647</v>
      </c>
      <c r="V114" s="24"/>
      <c r="W114" s="24"/>
      <c r="X114" s="25" t="s">
        <v>74</v>
      </c>
      <c r="Y114" s="25"/>
      <c r="Z114" s="25"/>
      <c r="AA114" s="25"/>
      <c r="AB114" s="24">
        <f>53647</f>
        <v>53647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53647</f>
        <v>53647</v>
      </c>
      <c r="AX114" s="24"/>
      <c r="AY114" s="25" t="s">
        <v>74</v>
      </c>
      <c r="AZ114" s="25"/>
      <c r="BA114" s="25" t="s">
        <v>74</v>
      </c>
      <c r="BB114" s="25"/>
      <c r="BC114" s="25"/>
      <c r="BD114" s="25" t="s">
        <v>74</v>
      </c>
      <c r="BE114" s="25"/>
      <c r="BF114" s="25" t="s">
        <v>74</v>
      </c>
      <c r="BG114" s="25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5" t="s">
        <v>74</v>
      </c>
      <c r="BR114" s="25"/>
      <c r="BS114" s="25"/>
      <c r="BT114" s="27" t="s">
        <v>74</v>
      </c>
    </row>
    <row r="115" spans="1:72" s="1" customFormat="1" ht="13.5" customHeight="1">
      <c r="A115" s="16" t="s">
        <v>259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211</v>
      </c>
      <c r="N115" s="23"/>
      <c r="O115" s="23"/>
      <c r="P115" s="31" t="s">
        <v>260</v>
      </c>
      <c r="Q115" s="31"/>
      <c r="R115" s="31"/>
      <c r="S115" s="31"/>
      <c r="T115" s="31"/>
      <c r="U115" s="24">
        <f>53647</f>
        <v>53647</v>
      </c>
      <c r="V115" s="24"/>
      <c r="W115" s="24"/>
      <c r="X115" s="25" t="s">
        <v>74</v>
      </c>
      <c r="Y115" s="25"/>
      <c r="Z115" s="25"/>
      <c r="AA115" s="25"/>
      <c r="AB115" s="24">
        <f>53647</f>
        <v>53647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53647</f>
        <v>53647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13.5" customHeight="1">
      <c r="A116" s="16" t="s">
        <v>261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211</v>
      </c>
      <c r="N116" s="23"/>
      <c r="O116" s="23"/>
      <c r="P116" s="31" t="s">
        <v>262</v>
      </c>
      <c r="Q116" s="31"/>
      <c r="R116" s="31"/>
      <c r="S116" s="31"/>
      <c r="T116" s="31"/>
      <c r="U116" s="24">
        <f>6003669.79</f>
        <v>6003669.79</v>
      </c>
      <c r="V116" s="24"/>
      <c r="W116" s="24"/>
      <c r="X116" s="25" t="s">
        <v>74</v>
      </c>
      <c r="Y116" s="25"/>
      <c r="Z116" s="25"/>
      <c r="AA116" s="25"/>
      <c r="AB116" s="24">
        <f>6003669.79</f>
        <v>6003669.79</v>
      </c>
      <c r="AC116" s="24"/>
      <c r="AD116" s="24"/>
      <c r="AE116" s="28">
        <f>72750.32</f>
        <v>72750.32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6076420.11</f>
        <v>6076420.11</v>
      </c>
      <c r="AX116" s="24"/>
      <c r="AY116" s="25" t="s">
        <v>74</v>
      </c>
      <c r="AZ116" s="25"/>
      <c r="BA116" s="24">
        <f>3159672.64</f>
        <v>3159672.64</v>
      </c>
      <c r="BB116" s="24"/>
      <c r="BC116" s="24"/>
      <c r="BD116" s="25" t="s">
        <v>74</v>
      </c>
      <c r="BE116" s="25"/>
      <c r="BF116" s="24">
        <f>3159672.64</f>
        <v>3159672.64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3159672.64</f>
        <v>3159672.64</v>
      </c>
      <c r="BR116" s="24"/>
      <c r="BS116" s="24"/>
      <c r="BT116" s="27" t="s">
        <v>74</v>
      </c>
    </row>
    <row r="117" spans="1:72" s="1" customFormat="1" ht="54.75" customHeight="1">
      <c r="A117" s="16" t="s">
        <v>216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211</v>
      </c>
      <c r="N117" s="23"/>
      <c r="O117" s="23"/>
      <c r="P117" s="31" t="s">
        <v>263</v>
      </c>
      <c r="Q117" s="31"/>
      <c r="R117" s="31"/>
      <c r="S117" s="31"/>
      <c r="T117" s="31"/>
      <c r="U117" s="24">
        <f>4463154</f>
        <v>4463154</v>
      </c>
      <c r="V117" s="24"/>
      <c r="W117" s="24"/>
      <c r="X117" s="25" t="s">
        <v>74</v>
      </c>
      <c r="Y117" s="25"/>
      <c r="Z117" s="25"/>
      <c r="AA117" s="25"/>
      <c r="AB117" s="24">
        <f>4463154</f>
        <v>4463154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4463154</f>
        <v>4463154</v>
      </c>
      <c r="AX117" s="24"/>
      <c r="AY117" s="25" t="s">
        <v>74</v>
      </c>
      <c r="AZ117" s="25"/>
      <c r="BA117" s="24">
        <f>2367970.46</f>
        <v>2367970.46</v>
      </c>
      <c r="BB117" s="24"/>
      <c r="BC117" s="24"/>
      <c r="BD117" s="25" t="s">
        <v>74</v>
      </c>
      <c r="BE117" s="25"/>
      <c r="BF117" s="24">
        <f>2367970.46</f>
        <v>2367970.46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2367970.46</f>
        <v>2367970.46</v>
      </c>
      <c r="BR117" s="24"/>
      <c r="BS117" s="24"/>
      <c r="BT117" s="27" t="s">
        <v>74</v>
      </c>
    </row>
    <row r="118" spans="1:72" s="1" customFormat="1" ht="13.5" customHeight="1">
      <c r="A118" s="16" t="s">
        <v>264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211</v>
      </c>
      <c r="N118" s="23"/>
      <c r="O118" s="23"/>
      <c r="P118" s="31" t="s">
        <v>265</v>
      </c>
      <c r="Q118" s="31"/>
      <c r="R118" s="31"/>
      <c r="S118" s="31"/>
      <c r="T118" s="31"/>
      <c r="U118" s="24">
        <f>4463154</f>
        <v>4463154</v>
      </c>
      <c r="V118" s="24"/>
      <c r="W118" s="24"/>
      <c r="X118" s="25" t="s">
        <v>74</v>
      </c>
      <c r="Y118" s="25"/>
      <c r="Z118" s="25"/>
      <c r="AA118" s="25"/>
      <c r="AB118" s="24">
        <f>4463154</f>
        <v>4463154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4463154</f>
        <v>4463154</v>
      </c>
      <c r="AX118" s="24"/>
      <c r="AY118" s="25" t="s">
        <v>74</v>
      </c>
      <c r="AZ118" s="25"/>
      <c r="BA118" s="24">
        <f>2367970.46</f>
        <v>2367970.46</v>
      </c>
      <c r="BB118" s="24"/>
      <c r="BC118" s="24"/>
      <c r="BD118" s="25" t="s">
        <v>74</v>
      </c>
      <c r="BE118" s="25"/>
      <c r="BF118" s="24">
        <f>2367970.46</f>
        <v>2367970.46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2367970.46</f>
        <v>2367970.46</v>
      </c>
      <c r="BR118" s="24"/>
      <c r="BS118" s="24"/>
      <c r="BT118" s="27" t="s">
        <v>74</v>
      </c>
    </row>
    <row r="119" spans="1:72" s="1" customFormat="1" ht="13.5" customHeight="1">
      <c r="A119" s="16" t="s">
        <v>266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211</v>
      </c>
      <c r="N119" s="23"/>
      <c r="O119" s="23"/>
      <c r="P119" s="31" t="s">
        <v>267</v>
      </c>
      <c r="Q119" s="31"/>
      <c r="R119" s="31"/>
      <c r="S119" s="31"/>
      <c r="T119" s="31"/>
      <c r="U119" s="24">
        <f>3427921</f>
        <v>3427921</v>
      </c>
      <c r="V119" s="24"/>
      <c r="W119" s="24"/>
      <c r="X119" s="25" t="s">
        <v>74</v>
      </c>
      <c r="Y119" s="25"/>
      <c r="Z119" s="25"/>
      <c r="AA119" s="25"/>
      <c r="AB119" s="24">
        <f>3427921</f>
        <v>3427921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3427921</f>
        <v>3427921</v>
      </c>
      <c r="AX119" s="24"/>
      <c r="AY119" s="25" t="s">
        <v>74</v>
      </c>
      <c r="AZ119" s="25"/>
      <c r="BA119" s="24">
        <f>1870005.46</f>
        <v>1870005.46</v>
      </c>
      <c r="BB119" s="24"/>
      <c r="BC119" s="24"/>
      <c r="BD119" s="25" t="s">
        <v>74</v>
      </c>
      <c r="BE119" s="25"/>
      <c r="BF119" s="24">
        <f>1870005.46</f>
        <v>1870005.46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1870005.46</f>
        <v>1870005.46</v>
      </c>
      <c r="BR119" s="24"/>
      <c r="BS119" s="24"/>
      <c r="BT119" s="27" t="s">
        <v>74</v>
      </c>
    </row>
    <row r="120" spans="1:72" s="1" customFormat="1" ht="33.75" customHeight="1">
      <c r="A120" s="16" t="s">
        <v>268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211</v>
      </c>
      <c r="N120" s="23"/>
      <c r="O120" s="23"/>
      <c r="P120" s="31" t="s">
        <v>269</v>
      </c>
      <c r="Q120" s="31"/>
      <c r="R120" s="31"/>
      <c r="S120" s="31"/>
      <c r="T120" s="31"/>
      <c r="U120" s="24">
        <f>1035233</f>
        <v>1035233</v>
      </c>
      <c r="V120" s="24"/>
      <c r="W120" s="24"/>
      <c r="X120" s="25" t="s">
        <v>74</v>
      </c>
      <c r="Y120" s="25"/>
      <c r="Z120" s="25"/>
      <c r="AA120" s="25"/>
      <c r="AB120" s="24">
        <f>1035233</f>
        <v>1035233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1035233</f>
        <v>1035233</v>
      </c>
      <c r="AX120" s="24"/>
      <c r="AY120" s="25" t="s">
        <v>74</v>
      </c>
      <c r="AZ120" s="25"/>
      <c r="BA120" s="24">
        <f>497965</f>
        <v>497965</v>
      </c>
      <c r="BB120" s="24"/>
      <c r="BC120" s="24"/>
      <c r="BD120" s="25" t="s">
        <v>74</v>
      </c>
      <c r="BE120" s="25"/>
      <c r="BF120" s="24">
        <f>497965</f>
        <v>497965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497965</f>
        <v>497965</v>
      </c>
      <c r="BR120" s="24"/>
      <c r="BS120" s="24"/>
      <c r="BT120" s="27" t="s">
        <v>74</v>
      </c>
    </row>
    <row r="121" spans="1:72" s="1" customFormat="1" ht="24" customHeight="1">
      <c r="A121" s="16" t="s">
        <v>230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211</v>
      </c>
      <c r="N121" s="23"/>
      <c r="O121" s="23"/>
      <c r="P121" s="31" t="s">
        <v>270</v>
      </c>
      <c r="Q121" s="31"/>
      <c r="R121" s="31"/>
      <c r="S121" s="31"/>
      <c r="T121" s="31"/>
      <c r="U121" s="24">
        <f>1453263.79</f>
        <v>1453263.79</v>
      </c>
      <c r="V121" s="24"/>
      <c r="W121" s="24"/>
      <c r="X121" s="25" t="s">
        <v>74</v>
      </c>
      <c r="Y121" s="25"/>
      <c r="Z121" s="25"/>
      <c r="AA121" s="25"/>
      <c r="AB121" s="24">
        <f>1453263.79</f>
        <v>1453263.79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1453263.79</f>
        <v>1453263.79</v>
      </c>
      <c r="AX121" s="24"/>
      <c r="AY121" s="25" t="s">
        <v>74</v>
      </c>
      <c r="AZ121" s="25"/>
      <c r="BA121" s="24">
        <f>713917.18</f>
        <v>713917.18</v>
      </c>
      <c r="BB121" s="24"/>
      <c r="BC121" s="24"/>
      <c r="BD121" s="25" t="s">
        <v>74</v>
      </c>
      <c r="BE121" s="25"/>
      <c r="BF121" s="24">
        <f>713917.18</f>
        <v>713917.18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713917.18</f>
        <v>713917.18</v>
      </c>
      <c r="BR121" s="24"/>
      <c r="BS121" s="24"/>
      <c r="BT121" s="27" t="s">
        <v>74</v>
      </c>
    </row>
    <row r="122" spans="1:72" s="1" customFormat="1" ht="24" customHeight="1">
      <c r="A122" s="16" t="s">
        <v>232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211</v>
      </c>
      <c r="N122" s="23"/>
      <c r="O122" s="23"/>
      <c r="P122" s="31" t="s">
        <v>271</v>
      </c>
      <c r="Q122" s="31"/>
      <c r="R122" s="31"/>
      <c r="S122" s="31"/>
      <c r="T122" s="31"/>
      <c r="U122" s="24">
        <f>1453263.79</f>
        <v>1453263.79</v>
      </c>
      <c r="V122" s="24"/>
      <c r="W122" s="24"/>
      <c r="X122" s="25" t="s">
        <v>74</v>
      </c>
      <c r="Y122" s="25"/>
      <c r="Z122" s="25"/>
      <c r="AA122" s="25"/>
      <c r="AB122" s="24">
        <f>1453263.79</f>
        <v>1453263.79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1453263.79</f>
        <v>1453263.79</v>
      </c>
      <c r="AX122" s="24"/>
      <c r="AY122" s="25" t="s">
        <v>74</v>
      </c>
      <c r="AZ122" s="25"/>
      <c r="BA122" s="24">
        <f>713917.18</f>
        <v>713917.18</v>
      </c>
      <c r="BB122" s="24"/>
      <c r="BC122" s="24"/>
      <c r="BD122" s="25" t="s">
        <v>74</v>
      </c>
      <c r="BE122" s="25"/>
      <c r="BF122" s="24">
        <f>713917.18</f>
        <v>713917.18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713917.18</f>
        <v>713917.18</v>
      </c>
      <c r="BR122" s="24"/>
      <c r="BS122" s="24"/>
      <c r="BT122" s="27" t="s">
        <v>74</v>
      </c>
    </row>
    <row r="123" spans="1:72" s="1" customFormat="1" ht="13.5" customHeight="1">
      <c r="A123" s="16" t="s">
        <v>234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211</v>
      </c>
      <c r="N123" s="23"/>
      <c r="O123" s="23"/>
      <c r="P123" s="31" t="s">
        <v>272</v>
      </c>
      <c r="Q123" s="31"/>
      <c r="R123" s="31"/>
      <c r="S123" s="31"/>
      <c r="T123" s="31"/>
      <c r="U123" s="24">
        <f>1338263.79</f>
        <v>1338263.79</v>
      </c>
      <c r="V123" s="24"/>
      <c r="W123" s="24"/>
      <c r="X123" s="25" t="s">
        <v>74</v>
      </c>
      <c r="Y123" s="25"/>
      <c r="Z123" s="25"/>
      <c r="AA123" s="25"/>
      <c r="AB123" s="24">
        <f>1338263.79</f>
        <v>1338263.79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1338263.79</f>
        <v>1338263.79</v>
      </c>
      <c r="AX123" s="24"/>
      <c r="AY123" s="25" t="s">
        <v>74</v>
      </c>
      <c r="AZ123" s="25"/>
      <c r="BA123" s="24">
        <f>628283.34</f>
        <v>628283.34</v>
      </c>
      <c r="BB123" s="24"/>
      <c r="BC123" s="24"/>
      <c r="BD123" s="25" t="s">
        <v>74</v>
      </c>
      <c r="BE123" s="25"/>
      <c r="BF123" s="24">
        <f>628283.34</f>
        <v>628283.34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628283.34</f>
        <v>628283.34</v>
      </c>
      <c r="BR123" s="24"/>
      <c r="BS123" s="24"/>
      <c r="BT123" s="27" t="s">
        <v>74</v>
      </c>
    </row>
    <row r="124" spans="1:72" s="1" customFormat="1" ht="13.5" customHeight="1">
      <c r="A124" s="16" t="s">
        <v>236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211</v>
      </c>
      <c r="N124" s="23"/>
      <c r="O124" s="23"/>
      <c r="P124" s="31" t="s">
        <v>273</v>
      </c>
      <c r="Q124" s="31"/>
      <c r="R124" s="31"/>
      <c r="S124" s="31"/>
      <c r="T124" s="31"/>
      <c r="U124" s="24">
        <f>115000</f>
        <v>115000</v>
      </c>
      <c r="V124" s="24"/>
      <c r="W124" s="24"/>
      <c r="X124" s="25" t="s">
        <v>74</v>
      </c>
      <c r="Y124" s="25"/>
      <c r="Z124" s="25"/>
      <c r="AA124" s="25"/>
      <c r="AB124" s="24">
        <f>115000</f>
        <v>115000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115000</f>
        <v>115000</v>
      </c>
      <c r="AX124" s="24"/>
      <c r="AY124" s="25" t="s">
        <v>74</v>
      </c>
      <c r="AZ124" s="25"/>
      <c r="BA124" s="24">
        <f>85633.84</f>
        <v>85633.84</v>
      </c>
      <c r="BB124" s="24"/>
      <c r="BC124" s="24"/>
      <c r="BD124" s="25" t="s">
        <v>74</v>
      </c>
      <c r="BE124" s="25"/>
      <c r="BF124" s="24">
        <f>85633.84</f>
        <v>85633.84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85633.84</f>
        <v>85633.84</v>
      </c>
      <c r="BR124" s="24"/>
      <c r="BS124" s="24"/>
      <c r="BT124" s="27" t="s">
        <v>74</v>
      </c>
    </row>
    <row r="125" spans="1:72" s="1" customFormat="1" ht="13.5" customHeight="1">
      <c r="A125" s="16" t="s">
        <v>248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211</v>
      </c>
      <c r="N125" s="23"/>
      <c r="O125" s="23"/>
      <c r="P125" s="31" t="s">
        <v>274</v>
      </c>
      <c r="Q125" s="31"/>
      <c r="R125" s="31"/>
      <c r="S125" s="31"/>
      <c r="T125" s="31"/>
      <c r="U125" s="24">
        <f>0</f>
        <v>0</v>
      </c>
      <c r="V125" s="24"/>
      <c r="W125" s="24"/>
      <c r="X125" s="25" t="s">
        <v>74</v>
      </c>
      <c r="Y125" s="25"/>
      <c r="Z125" s="25"/>
      <c r="AA125" s="25"/>
      <c r="AB125" s="24">
        <f>0</f>
        <v>0</v>
      </c>
      <c r="AC125" s="24"/>
      <c r="AD125" s="24"/>
      <c r="AE125" s="28">
        <f>72750.32</f>
        <v>72750.32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72750.32</f>
        <v>72750.32</v>
      </c>
      <c r="AX125" s="24"/>
      <c r="AY125" s="25" t="s">
        <v>74</v>
      </c>
      <c r="AZ125" s="25"/>
      <c r="BA125" s="25" t="s">
        <v>74</v>
      </c>
      <c r="BB125" s="25"/>
      <c r="BC125" s="25"/>
      <c r="BD125" s="25" t="s">
        <v>74</v>
      </c>
      <c r="BE125" s="25"/>
      <c r="BF125" s="25" t="s">
        <v>74</v>
      </c>
      <c r="BG125" s="25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5" t="s">
        <v>74</v>
      </c>
      <c r="BR125" s="25"/>
      <c r="BS125" s="25"/>
      <c r="BT125" s="27" t="s">
        <v>74</v>
      </c>
    </row>
    <row r="126" spans="1:72" s="1" customFormat="1" ht="13.5" customHeight="1">
      <c r="A126" s="16" t="s">
        <v>198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211</v>
      </c>
      <c r="N126" s="23"/>
      <c r="O126" s="23"/>
      <c r="P126" s="31" t="s">
        <v>275</v>
      </c>
      <c r="Q126" s="31"/>
      <c r="R126" s="31"/>
      <c r="S126" s="31"/>
      <c r="T126" s="31"/>
      <c r="U126" s="24">
        <f>0</f>
        <v>0</v>
      </c>
      <c r="V126" s="24"/>
      <c r="W126" s="24"/>
      <c r="X126" s="25" t="s">
        <v>74</v>
      </c>
      <c r="Y126" s="25"/>
      <c r="Z126" s="25"/>
      <c r="AA126" s="25"/>
      <c r="AB126" s="24">
        <f>0</f>
        <v>0</v>
      </c>
      <c r="AC126" s="24"/>
      <c r="AD126" s="24"/>
      <c r="AE126" s="28">
        <f>72750.32</f>
        <v>72750.32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72750.32</f>
        <v>72750.32</v>
      </c>
      <c r="AX126" s="24"/>
      <c r="AY126" s="25" t="s">
        <v>74</v>
      </c>
      <c r="AZ126" s="25"/>
      <c r="BA126" s="25" t="s">
        <v>74</v>
      </c>
      <c r="BB126" s="25"/>
      <c r="BC126" s="25"/>
      <c r="BD126" s="25" t="s">
        <v>74</v>
      </c>
      <c r="BE126" s="25"/>
      <c r="BF126" s="25" t="s">
        <v>74</v>
      </c>
      <c r="BG126" s="25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5" t="s">
        <v>74</v>
      </c>
      <c r="BR126" s="25"/>
      <c r="BS126" s="25"/>
      <c r="BT126" s="27" t="s">
        <v>74</v>
      </c>
    </row>
    <row r="127" spans="1:72" s="1" customFormat="1" ht="13.5" customHeight="1">
      <c r="A127" s="16" t="s">
        <v>238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211</v>
      </c>
      <c r="N127" s="23"/>
      <c r="O127" s="23"/>
      <c r="P127" s="31" t="s">
        <v>276</v>
      </c>
      <c r="Q127" s="31"/>
      <c r="R127" s="31"/>
      <c r="S127" s="31"/>
      <c r="T127" s="31"/>
      <c r="U127" s="24">
        <f>87252</f>
        <v>87252</v>
      </c>
      <c r="V127" s="24"/>
      <c r="W127" s="24"/>
      <c r="X127" s="25" t="s">
        <v>74</v>
      </c>
      <c r="Y127" s="25"/>
      <c r="Z127" s="25"/>
      <c r="AA127" s="25"/>
      <c r="AB127" s="24">
        <f>87252</f>
        <v>87252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87252</f>
        <v>87252</v>
      </c>
      <c r="AX127" s="24"/>
      <c r="AY127" s="25" t="s">
        <v>74</v>
      </c>
      <c r="AZ127" s="25"/>
      <c r="BA127" s="24">
        <f>77785</f>
        <v>77785</v>
      </c>
      <c r="BB127" s="24"/>
      <c r="BC127" s="24"/>
      <c r="BD127" s="25" t="s">
        <v>74</v>
      </c>
      <c r="BE127" s="25"/>
      <c r="BF127" s="24">
        <f>77785</f>
        <v>77785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77785</f>
        <v>77785</v>
      </c>
      <c r="BR127" s="24"/>
      <c r="BS127" s="24"/>
      <c r="BT127" s="27" t="s">
        <v>74</v>
      </c>
    </row>
    <row r="128" spans="1:72" s="1" customFormat="1" ht="13.5" customHeight="1">
      <c r="A128" s="16" t="s">
        <v>277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211</v>
      </c>
      <c r="N128" s="23"/>
      <c r="O128" s="23"/>
      <c r="P128" s="31" t="s">
        <v>278</v>
      </c>
      <c r="Q128" s="31"/>
      <c r="R128" s="31"/>
      <c r="S128" s="31"/>
      <c r="T128" s="31"/>
      <c r="U128" s="24">
        <f>18659</f>
        <v>18659</v>
      </c>
      <c r="V128" s="24"/>
      <c r="W128" s="24"/>
      <c r="X128" s="25" t="s">
        <v>74</v>
      </c>
      <c r="Y128" s="25"/>
      <c r="Z128" s="25"/>
      <c r="AA128" s="25"/>
      <c r="AB128" s="24">
        <f>18659</f>
        <v>18659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18659</f>
        <v>18659</v>
      </c>
      <c r="AX128" s="24"/>
      <c r="AY128" s="25" t="s">
        <v>74</v>
      </c>
      <c r="AZ128" s="25"/>
      <c r="BA128" s="24">
        <f>18659</f>
        <v>18659</v>
      </c>
      <c r="BB128" s="24"/>
      <c r="BC128" s="24"/>
      <c r="BD128" s="25" t="s">
        <v>74</v>
      </c>
      <c r="BE128" s="25"/>
      <c r="BF128" s="24">
        <f>18659</f>
        <v>18659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18659</f>
        <v>18659</v>
      </c>
      <c r="BR128" s="24"/>
      <c r="BS128" s="24"/>
      <c r="BT128" s="27" t="s">
        <v>74</v>
      </c>
    </row>
    <row r="129" spans="1:72" s="1" customFormat="1" ht="33.75" customHeight="1">
      <c r="A129" s="16" t="s">
        <v>279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211</v>
      </c>
      <c r="N129" s="23"/>
      <c r="O129" s="23"/>
      <c r="P129" s="31" t="s">
        <v>280</v>
      </c>
      <c r="Q129" s="31"/>
      <c r="R129" s="31"/>
      <c r="S129" s="31"/>
      <c r="T129" s="31"/>
      <c r="U129" s="24">
        <f>18659</f>
        <v>18659</v>
      </c>
      <c r="V129" s="24"/>
      <c r="W129" s="24"/>
      <c r="X129" s="25" t="s">
        <v>74</v>
      </c>
      <c r="Y129" s="25"/>
      <c r="Z129" s="25"/>
      <c r="AA129" s="25"/>
      <c r="AB129" s="24">
        <f>18659</f>
        <v>18659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18659</f>
        <v>18659</v>
      </c>
      <c r="AX129" s="24"/>
      <c r="AY129" s="25" t="s">
        <v>74</v>
      </c>
      <c r="AZ129" s="25"/>
      <c r="BA129" s="24">
        <f>18659</f>
        <v>18659</v>
      </c>
      <c r="BB129" s="24"/>
      <c r="BC129" s="24"/>
      <c r="BD129" s="25" t="s">
        <v>74</v>
      </c>
      <c r="BE129" s="25"/>
      <c r="BF129" s="24">
        <f>18659</f>
        <v>18659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18659</f>
        <v>18659</v>
      </c>
      <c r="BR129" s="24"/>
      <c r="BS129" s="24"/>
      <c r="BT129" s="27" t="s">
        <v>74</v>
      </c>
    </row>
    <row r="130" spans="1:72" s="1" customFormat="1" ht="13.5" customHeight="1">
      <c r="A130" s="16" t="s">
        <v>240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211</v>
      </c>
      <c r="N130" s="23"/>
      <c r="O130" s="23"/>
      <c r="P130" s="31" t="s">
        <v>281</v>
      </c>
      <c r="Q130" s="31"/>
      <c r="R130" s="31"/>
      <c r="S130" s="31"/>
      <c r="T130" s="31"/>
      <c r="U130" s="24">
        <f>68593</f>
        <v>68593</v>
      </c>
      <c r="V130" s="24"/>
      <c r="W130" s="24"/>
      <c r="X130" s="25" t="s">
        <v>74</v>
      </c>
      <c r="Y130" s="25"/>
      <c r="Z130" s="25"/>
      <c r="AA130" s="25"/>
      <c r="AB130" s="24">
        <f>68593</f>
        <v>68593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68593</f>
        <v>68593</v>
      </c>
      <c r="AX130" s="24"/>
      <c r="AY130" s="25" t="s">
        <v>74</v>
      </c>
      <c r="AZ130" s="25"/>
      <c r="BA130" s="24">
        <f>59126</f>
        <v>59126</v>
      </c>
      <c r="BB130" s="24"/>
      <c r="BC130" s="24"/>
      <c r="BD130" s="25" t="s">
        <v>74</v>
      </c>
      <c r="BE130" s="25"/>
      <c r="BF130" s="24">
        <f>59126</f>
        <v>59126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59126</f>
        <v>59126</v>
      </c>
      <c r="BR130" s="24"/>
      <c r="BS130" s="24"/>
      <c r="BT130" s="27" t="s">
        <v>74</v>
      </c>
    </row>
    <row r="131" spans="1:72" s="1" customFormat="1" ht="24" customHeight="1">
      <c r="A131" s="16" t="s">
        <v>242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211</v>
      </c>
      <c r="N131" s="23"/>
      <c r="O131" s="23"/>
      <c r="P131" s="31" t="s">
        <v>282</v>
      </c>
      <c r="Q131" s="31"/>
      <c r="R131" s="31"/>
      <c r="S131" s="31"/>
      <c r="T131" s="31"/>
      <c r="U131" s="24">
        <f>23565</f>
        <v>23565</v>
      </c>
      <c r="V131" s="24"/>
      <c r="W131" s="24"/>
      <c r="X131" s="25" t="s">
        <v>74</v>
      </c>
      <c r="Y131" s="25"/>
      <c r="Z131" s="25"/>
      <c r="AA131" s="25"/>
      <c r="AB131" s="24">
        <f>23565</f>
        <v>23565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23565</f>
        <v>23565</v>
      </c>
      <c r="AX131" s="24"/>
      <c r="AY131" s="25" t="s">
        <v>74</v>
      </c>
      <c r="AZ131" s="25"/>
      <c r="BA131" s="24">
        <f>19430</f>
        <v>19430</v>
      </c>
      <c r="BB131" s="24"/>
      <c r="BC131" s="24"/>
      <c r="BD131" s="25" t="s">
        <v>74</v>
      </c>
      <c r="BE131" s="25"/>
      <c r="BF131" s="24">
        <f>19430</f>
        <v>19430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19430</f>
        <v>19430</v>
      </c>
      <c r="BR131" s="24"/>
      <c r="BS131" s="24"/>
      <c r="BT131" s="27" t="s">
        <v>74</v>
      </c>
    </row>
    <row r="132" spans="1:72" s="1" customFormat="1" ht="13.5" customHeight="1">
      <c r="A132" s="16" t="s">
        <v>244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211</v>
      </c>
      <c r="N132" s="23"/>
      <c r="O132" s="23"/>
      <c r="P132" s="31" t="s">
        <v>283</v>
      </c>
      <c r="Q132" s="31"/>
      <c r="R132" s="31"/>
      <c r="S132" s="31"/>
      <c r="T132" s="31"/>
      <c r="U132" s="24">
        <f>4000</f>
        <v>4000</v>
      </c>
      <c r="V132" s="24"/>
      <c r="W132" s="24"/>
      <c r="X132" s="25" t="s">
        <v>74</v>
      </c>
      <c r="Y132" s="25"/>
      <c r="Z132" s="25"/>
      <c r="AA132" s="25"/>
      <c r="AB132" s="24">
        <f>4000</f>
        <v>4000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4000</f>
        <v>4000</v>
      </c>
      <c r="AX132" s="24"/>
      <c r="AY132" s="25" t="s">
        <v>74</v>
      </c>
      <c r="AZ132" s="25"/>
      <c r="BA132" s="25" t="s">
        <v>74</v>
      </c>
      <c r="BB132" s="25"/>
      <c r="BC132" s="25"/>
      <c r="BD132" s="25" t="s">
        <v>74</v>
      </c>
      <c r="BE132" s="25"/>
      <c r="BF132" s="25" t="s">
        <v>74</v>
      </c>
      <c r="BG132" s="25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5" t="s">
        <v>74</v>
      </c>
      <c r="BR132" s="25"/>
      <c r="BS132" s="25"/>
      <c r="BT132" s="27" t="s">
        <v>74</v>
      </c>
    </row>
    <row r="133" spans="1:72" s="1" customFormat="1" ht="13.5" customHeight="1">
      <c r="A133" s="16" t="s">
        <v>284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211</v>
      </c>
      <c r="N133" s="23"/>
      <c r="O133" s="23"/>
      <c r="P133" s="31" t="s">
        <v>285</v>
      </c>
      <c r="Q133" s="31"/>
      <c r="R133" s="31"/>
      <c r="S133" s="31"/>
      <c r="T133" s="31"/>
      <c r="U133" s="24">
        <f>41028</f>
        <v>41028</v>
      </c>
      <c r="V133" s="24"/>
      <c r="W133" s="24"/>
      <c r="X133" s="25" t="s">
        <v>74</v>
      </c>
      <c r="Y133" s="25"/>
      <c r="Z133" s="25"/>
      <c r="AA133" s="25"/>
      <c r="AB133" s="24">
        <f>41028</f>
        <v>41028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41028</f>
        <v>41028</v>
      </c>
      <c r="AX133" s="24"/>
      <c r="AY133" s="25" t="s">
        <v>74</v>
      </c>
      <c r="AZ133" s="25"/>
      <c r="BA133" s="24">
        <f>39696</f>
        <v>39696</v>
      </c>
      <c r="BB133" s="24"/>
      <c r="BC133" s="24"/>
      <c r="BD133" s="25" t="s">
        <v>74</v>
      </c>
      <c r="BE133" s="25"/>
      <c r="BF133" s="24">
        <f>39696</f>
        <v>39696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39696</f>
        <v>39696</v>
      </c>
      <c r="BR133" s="24"/>
      <c r="BS133" s="24"/>
      <c r="BT133" s="27" t="s">
        <v>74</v>
      </c>
    </row>
    <row r="134" spans="1:72" s="1" customFormat="1" ht="13.5" customHeight="1">
      <c r="A134" s="16" t="s">
        <v>286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211</v>
      </c>
      <c r="N134" s="23"/>
      <c r="O134" s="23"/>
      <c r="P134" s="31" t="s">
        <v>287</v>
      </c>
      <c r="Q134" s="31"/>
      <c r="R134" s="31"/>
      <c r="S134" s="31"/>
      <c r="T134" s="31"/>
      <c r="U134" s="24">
        <f>293942</f>
        <v>293942</v>
      </c>
      <c r="V134" s="24"/>
      <c r="W134" s="24"/>
      <c r="X134" s="25" t="s">
        <v>74</v>
      </c>
      <c r="Y134" s="25"/>
      <c r="Z134" s="25"/>
      <c r="AA134" s="25"/>
      <c r="AB134" s="24">
        <f>293942</f>
        <v>293942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293942</f>
        <v>293942</v>
      </c>
      <c r="AX134" s="24"/>
      <c r="AY134" s="25" t="s">
        <v>74</v>
      </c>
      <c r="AZ134" s="25"/>
      <c r="BA134" s="24">
        <f>190674.15</f>
        <v>190674.15</v>
      </c>
      <c r="BB134" s="24"/>
      <c r="BC134" s="24"/>
      <c r="BD134" s="25" t="s">
        <v>74</v>
      </c>
      <c r="BE134" s="25"/>
      <c r="BF134" s="24">
        <f>190674.15</f>
        <v>190674.15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190674.15</f>
        <v>190674.15</v>
      </c>
      <c r="BR134" s="24"/>
      <c r="BS134" s="24"/>
      <c r="BT134" s="27" t="s">
        <v>74</v>
      </c>
    </row>
    <row r="135" spans="1:72" s="1" customFormat="1" ht="13.5" customHeight="1">
      <c r="A135" s="16" t="s">
        <v>288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211</v>
      </c>
      <c r="N135" s="23"/>
      <c r="O135" s="23"/>
      <c r="P135" s="31" t="s">
        <v>289</v>
      </c>
      <c r="Q135" s="31"/>
      <c r="R135" s="31"/>
      <c r="S135" s="31"/>
      <c r="T135" s="31"/>
      <c r="U135" s="24">
        <f>293942</f>
        <v>293942</v>
      </c>
      <c r="V135" s="24"/>
      <c r="W135" s="24"/>
      <c r="X135" s="25" t="s">
        <v>74</v>
      </c>
      <c r="Y135" s="25"/>
      <c r="Z135" s="25"/>
      <c r="AA135" s="25"/>
      <c r="AB135" s="24">
        <f>293942</f>
        <v>293942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293942</f>
        <v>293942</v>
      </c>
      <c r="AX135" s="24"/>
      <c r="AY135" s="25" t="s">
        <v>74</v>
      </c>
      <c r="AZ135" s="25"/>
      <c r="BA135" s="24">
        <f>190674.15</f>
        <v>190674.15</v>
      </c>
      <c r="BB135" s="24"/>
      <c r="BC135" s="24"/>
      <c r="BD135" s="25" t="s">
        <v>74</v>
      </c>
      <c r="BE135" s="25"/>
      <c r="BF135" s="24">
        <f>190674.15</f>
        <v>190674.15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190674.15</f>
        <v>190674.15</v>
      </c>
      <c r="BR135" s="24"/>
      <c r="BS135" s="24"/>
      <c r="BT135" s="27" t="s">
        <v>74</v>
      </c>
    </row>
    <row r="136" spans="1:72" s="1" customFormat="1" ht="54.75" customHeight="1">
      <c r="A136" s="16" t="s">
        <v>216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211</v>
      </c>
      <c r="N136" s="23"/>
      <c r="O136" s="23"/>
      <c r="P136" s="31" t="s">
        <v>290</v>
      </c>
      <c r="Q136" s="31"/>
      <c r="R136" s="31"/>
      <c r="S136" s="31"/>
      <c r="T136" s="31"/>
      <c r="U136" s="24">
        <f>293942</f>
        <v>293942</v>
      </c>
      <c r="V136" s="24"/>
      <c r="W136" s="24"/>
      <c r="X136" s="25" t="s">
        <v>74</v>
      </c>
      <c r="Y136" s="25"/>
      <c r="Z136" s="25"/>
      <c r="AA136" s="25"/>
      <c r="AB136" s="24">
        <f>293942</f>
        <v>293942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293942</f>
        <v>293942</v>
      </c>
      <c r="AX136" s="24"/>
      <c r="AY136" s="25" t="s">
        <v>74</v>
      </c>
      <c r="AZ136" s="25"/>
      <c r="BA136" s="24">
        <f>190674.15</f>
        <v>190674.15</v>
      </c>
      <c r="BB136" s="24"/>
      <c r="BC136" s="24"/>
      <c r="BD136" s="25" t="s">
        <v>74</v>
      </c>
      <c r="BE136" s="25"/>
      <c r="BF136" s="24">
        <f>190674.15</f>
        <v>190674.15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190674.15</f>
        <v>190674.15</v>
      </c>
      <c r="BR136" s="24"/>
      <c r="BS136" s="24"/>
      <c r="BT136" s="27" t="s">
        <v>74</v>
      </c>
    </row>
    <row r="137" spans="1:72" s="1" customFormat="1" ht="24" customHeight="1">
      <c r="A137" s="16" t="s">
        <v>218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211</v>
      </c>
      <c r="N137" s="23"/>
      <c r="O137" s="23"/>
      <c r="P137" s="31" t="s">
        <v>291</v>
      </c>
      <c r="Q137" s="31"/>
      <c r="R137" s="31"/>
      <c r="S137" s="31"/>
      <c r="T137" s="31"/>
      <c r="U137" s="24">
        <f>293942</f>
        <v>293942</v>
      </c>
      <c r="V137" s="24"/>
      <c r="W137" s="24"/>
      <c r="X137" s="25" t="s">
        <v>74</v>
      </c>
      <c r="Y137" s="25"/>
      <c r="Z137" s="25"/>
      <c r="AA137" s="25"/>
      <c r="AB137" s="24">
        <f>293942</f>
        <v>293942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293942</f>
        <v>293942</v>
      </c>
      <c r="AX137" s="24"/>
      <c r="AY137" s="25" t="s">
        <v>74</v>
      </c>
      <c r="AZ137" s="25"/>
      <c r="BA137" s="24">
        <f>190674.15</f>
        <v>190674.15</v>
      </c>
      <c r="BB137" s="24"/>
      <c r="BC137" s="24"/>
      <c r="BD137" s="25" t="s">
        <v>74</v>
      </c>
      <c r="BE137" s="25"/>
      <c r="BF137" s="24">
        <f>190674.15</f>
        <v>190674.15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190674.15</f>
        <v>190674.15</v>
      </c>
      <c r="BR137" s="24"/>
      <c r="BS137" s="24"/>
      <c r="BT137" s="27" t="s">
        <v>74</v>
      </c>
    </row>
    <row r="138" spans="1:72" s="1" customFormat="1" ht="24" customHeight="1">
      <c r="A138" s="16" t="s">
        <v>220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211</v>
      </c>
      <c r="N138" s="23"/>
      <c r="O138" s="23"/>
      <c r="P138" s="31" t="s">
        <v>292</v>
      </c>
      <c r="Q138" s="31"/>
      <c r="R138" s="31"/>
      <c r="S138" s="31"/>
      <c r="T138" s="31"/>
      <c r="U138" s="24">
        <f>232792.19</f>
        <v>232792.19</v>
      </c>
      <c r="V138" s="24"/>
      <c r="W138" s="24"/>
      <c r="X138" s="25" t="s">
        <v>74</v>
      </c>
      <c r="Y138" s="25"/>
      <c r="Z138" s="25"/>
      <c r="AA138" s="25"/>
      <c r="AB138" s="24">
        <f>232792.19</f>
        <v>232792.19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232792.19</f>
        <v>232792.19</v>
      </c>
      <c r="AX138" s="24"/>
      <c r="AY138" s="25" t="s">
        <v>74</v>
      </c>
      <c r="AZ138" s="25"/>
      <c r="BA138" s="24">
        <f>154138.19</f>
        <v>154138.19</v>
      </c>
      <c r="BB138" s="24"/>
      <c r="BC138" s="24"/>
      <c r="BD138" s="25" t="s">
        <v>74</v>
      </c>
      <c r="BE138" s="25"/>
      <c r="BF138" s="24">
        <f>154138.19</f>
        <v>154138.19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154138.19</f>
        <v>154138.19</v>
      </c>
      <c r="BR138" s="24"/>
      <c r="BS138" s="24"/>
      <c r="BT138" s="27" t="s">
        <v>74</v>
      </c>
    </row>
    <row r="139" spans="1:72" s="1" customFormat="1" ht="33.75" customHeight="1">
      <c r="A139" s="16" t="s">
        <v>222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211</v>
      </c>
      <c r="N139" s="23"/>
      <c r="O139" s="23"/>
      <c r="P139" s="31" t="s">
        <v>293</v>
      </c>
      <c r="Q139" s="31"/>
      <c r="R139" s="31"/>
      <c r="S139" s="31"/>
      <c r="T139" s="31"/>
      <c r="U139" s="24">
        <f>61149.81</f>
        <v>61149.81</v>
      </c>
      <c r="V139" s="24"/>
      <c r="W139" s="24"/>
      <c r="X139" s="25" t="s">
        <v>74</v>
      </c>
      <c r="Y139" s="25"/>
      <c r="Z139" s="25"/>
      <c r="AA139" s="25"/>
      <c r="AB139" s="24">
        <f>61149.81</f>
        <v>61149.81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61149.81</f>
        <v>61149.81</v>
      </c>
      <c r="AX139" s="24"/>
      <c r="AY139" s="25" t="s">
        <v>74</v>
      </c>
      <c r="AZ139" s="25"/>
      <c r="BA139" s="24">
        <f>36535.96</f>
        <v>36535.96</v>
      </c>
      <c r="BB139" s="24"/>
      <c r="BC139" s="24"/>
      <c r="BD139" s="25" t="s">
        <v>74</v>
      </c>
      <c r="BE139" s="25"/>
      <c r="BF139" s="24">
        <f>36535.96</f>
        <v>36535.96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36535.96</f>
        <v>36535.96</v>
      </c>
      <c r="BR139" s="24"/>
      <c r="BS139" s="24"/>
      <c r="BT139" s="27" t="s">
        <v>74</v>
      </c>
    </row>
    <row r="140" spans="1:72" s="1" customFormat="1" ht="24" customHeight="1">
      <c r="A140" s="16" t="s">
        <v>294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211</v>
      </c>
      <c r="N140" s="23"/>
      <c r="O140" s="23"/>
      <c r="P140" s="31" t="s">
        <v>295</v>
      </c>
      <c r="Q140" s="31"/>
      <c r="R140" s="31"/>
      <c r="S140" s="31"/>
      <c r="T140" s="31"/>
      <c r="U140" s="24">
        <f>55000</f>
        <v>55000</v>
      </c>
      <c r="V140" s="24"/>
      <c r="W140" s="24"/>
      <c r="X140" s="25" t="s">
        <v>74</v>
      </c>
      <c r="Y140" s="25"/>
      <c r="Z140" s="25"/>
      <c r="AA140" s="25"/>
      <c r="AB140" s="24">
        <f>55000</f>
        <v>55000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55000</f>
        <v>55000</v>
      </c>
      <c r="AX140" s="24"/>
      <c r="AY140" s="25" t="s">
        <v>74</v>
      </c>
      <c r="AZ140" s="25"/>
      <c r="BA140" s="24">
        <f>25900</f>
        <v>25900</v>
      </c>
      <c r="BB140" s="24"/>
      <c r="BC140" s="24"/>
      <c r="BD140" s="25" t="s">
        <v>74</v>
      </c>
      <c r="BE140" s="25"/>
      <c r="BF140" s="24">
        <f>25900</f>
        <v>25900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25900</f>
        <v>25900</v>
      </c>
      <c r="BR140" s="24"/>
      <c r="BS140" s="24"/>
      <c r="BT140" s="27" t="s">
        <v>74</v>
      </c>
    </row>
    <row r="141" spans="1:72" s="1" customFormat="1" ht="33.75" customHeight="1">
      <c r="A141" s="16" t="s">
        <v>296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211</v>
      </c>
      <c r="N141" s="23"/>
      <c r="O141" s="23"/>
      <c r="P141" s="31" t="s">
        <v>297</v>
      </c>
      <c r="Q141" s="31"/>
      <c r="R141" s="31"/>
      <c r="S141" s="31"/>
      <c r="T141" s="31"/>
      <c r="U141" s="24">
        <f>55000</f>
        <v>55000</v>
      </c>
      <c r="V141" s="24"/>
      <c r="W141" s="24"/>
      <c r="X141" s="25" t="s">
        <v>74</v>
      </c>
      <c r="Y141" s="25"/>
      <c r="Z141" s="25"/>
      <c r="AA141" s="25"/>
      <c r="AB141" s="24">
        <f>55000</f>
        <v>55000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55000</f>
        <v>55000</v>
      </c>
      <c r="AX141" s="24"/>
      <c r="AY141" s="25" t="s">
        <v>74</v>
      </c>
      <c r="AZ141" s="25"/>
      <c r="BA141" s="24">
        <f>25900</f>
        <v>25900</v>
      </c>
      <c r="BB141" s="24"/>
      <c r="BC141" s="24"/>
      <c r="BD141" s="25" t="s">
        <v>74</v>
      </c>
      <c r="BE141" s="25"/>
      <c r="BF141" s="24">
        <f>25900</f>
        <v>25900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25900</f>
        <v>25900</v>
      </c>
      <c r="BR141" s="24"/>
      <c r="BS141" s="24"/>
      <c r="BT141" s="27" t="s">
        <v>74</v>
      </c>
    </row>
    <row r="142" spans="1:72" s="1" customFormat="1" ht="24" customHeight="1">
      <c r="A142" s="16" t="s">
        <v>230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211</v>
      </c>
      <c r="N142" s="23"/>
      <c r="O142" s="23"/>
      <c r="P142" s="31" t="s">
        <v>298</v>
      </c>
      <c r="Q142" s="31"/>
      <c r="R142" s="31"/>
      <c r="S142" s="31"/>
      <c r="T142" s="31"/>
      <c r="U142" s="24">
        <f>55000</f>
        <v>55000</v>
      </c>
      <c r="V142" s="24"/>
      <c r="W142" s="24"/>
      <c r="X142" s="25" t="s">
        <v>74</v>
      </c>
      <c r="Y142" s="25"/>
      <c r="Z142" s="25"/>
      <c r="AA142" s="25"/>
      <c r="AB142" s="24">
        <f>55000</f>
        <v>55000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55000</f>
        <v>55000</v>
      </c>
      <c r="AX142" s="24"/>
      <c r="AY142" s="25" t="s">
        <v>74</v>
      </c>
      <c r="AZ142" s="25"/>
      <c r="BA142" s="24">
        <f>25900</f>
        <v>25900</v>
      </c>
      <c r="BB142" s="24"/>
      <c r="BC142" s="24"/>
      <c r="BD142" s="25" t="s">
        <v>74</v>
      </c>
      <c r="BE142" s="25"/>
      <c r="BF142" s="24">
        <f>25900</f>
        <v>25900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25900</f>
        <v>25900</v>
      </c>
      <c r="BR142" s="24"/>
      <c r="BS142" s="24"/>
      <c r="BT142" s="27" t="s">
        <v>74</v>
      </c>
    </row>
    <row r="143" spans="1:72" s="1" customFormat="1" ht="24" customHeight="1">
      <c r="A143" s="16" t="s">
        <v>232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211</v>
      </c>
      <c r="N143" s="23"/>
      <c r="O143" s="23"/>
      <c r="P143" s="31" t="s">
        <v>299</v>
      </c>
      <c r="Q143" s="31"/>
      <c r="R143" s="31"/>
      <c r="S143" s="31"/>
      <c r="T143" s="31"/>
      <c r="U143" s="24">
        <f>55000</f>
        <v>55000</v>
      </c>
      <c r="V143" s="24"/>
      <c r="W143" s="24"/>
      <c r="X143" s="25" t="s">
        <v>74</v>
      </c>
      <c r="Y143" s="25"/>
      <c r="Z143" s="25"/>
      <c r="AA143" s="25"/>
      <c r="AB143" s="24">
        <f>55000</f>
        <v>55000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55000</f>
        <v>55000</v>
      </c>
      <c r="AX143" s="24"/>
      <c r="AY143" s="25" t="s">
        <v>74</v>
      </c>
      <c r="AZ143" s="25"/>
      <c r="BA143" s="24">
        <f>25900</f>
        <v>25900</v>
      </c>
      <c r="BB143" s="24"/>
      <c r="BC143" s="24"/>
      <c r="BD143" s="25" t="s">
        <v>74</v>
      </c>
      <c r="BE143" s="25"/>
      <c r="BF143" s="24">
        <f>25900</f>
        <v>25900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25900</f>
        <v>25900</v>
      </c>
      <c r="BR143" s="24"/>
      <c r="BS143" s="24"/>
      <c r="BT143" s="27" t="s">
        <v>74</v>
      </c>
    </row>
    <row r="144" spans="1:72" s="1" customFormat="1" ht="13.5" customHeight="1">
      <c r="A144" s="16" t="s">
        <v>234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211</v>
      </c>
      <c r="N144" s="23"/>
      <c r="O144" s="23"/>
      <c r="P144" s="31" t="s">
        <v>300</v>
      </c>
      <c r="Q144" s="31"/>
      <c r="R144" s="31"/>
      <c r="S144" s="31"/>
      <c r="T144" s="31"/>
      <c r="U144" s="24">
        <f>55000</f>
        <v>55000</v>
      </c>
      <c r="V144" s="24"/>
      <c r="W144" s="24"/>
      <c r="X144" s="25" t="s">
        <v>74</v>
      </c>
      <c r="Y144" s="25"/>
      <c r="Z144" s="25"/>
      <c r="AA144" s="25"/>
      <c r="AB144" s="24">
        <f>55000</f>
        <v>55000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55000</f>
        <v>55000</v>
      </c>
      <c r="AX144" s="24"/>
      <c r="AY144" s="25" t="s">
        <v>74</v>
      </c>
      <c r="AZ144" s="25"/>
      <c r="BA144" s="24">
        <f>25900</f>
        <v>25900</v>
      </c>
      <c r="BB144" s="24"/>
      <c r="BC144" s="24"/>
      <c r="BD144" s="25" t="s">
        <v>74</v>
      </c>
      <c r="BE144" s="25"/>
      <c r="BF144" s="24">
        <f>25900</f>
        <v>25900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25900</f>
        <v>25900</v>
      </c>
      <c r="BR144" s="24"/>
      <c r="BS144" s="24"/>
      <c r="BT144" s="27" t="s">
        <v>74</v>
      </c>
    </row>
    <row r="145" spans="1:72" s="1" customFormat="1" ht="13.5" customHeight="1">
      <c r="A145" s="16" t="s">
        <v>301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211</v>
      </c>
      <c r="N145" s="23"/>
      <c r="O145" s="23"/>
      <c r="P145" s="31" t="s">
        <v>302</v>
      </c>
      <c r="Q145" s="31"/>
      <c r="R145" s="31"/>
      <c r="S145" s="31"/>
      <c r="T145" s="31"/>
      <c r="U145" s="24">
        <f>5474790.96</f>
        <v>5474790.96</v>
      </c>
      <c r="V145" s="24"/>
      <c r="W145" s="24"/>
      <c r="X145" s="25" t="s">
        <v>74</v>
      </c>
      <c r="Y145" s="25"/>
      <c r="Z145" s="25"/>
      <c r="AA145" s="25"/>
      <c r="AB145" s="24">
        <f>5474790.96</f>
        <v>5474790.96</v>
      </c>
      <c r="AC145" s="24"/>
      <c r="AD145" s="24"/>
      <c r="AE145" s="28">
        <f>9596682.91</f>
        <v>9596682.91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15071473.87</f>
        <v>15071473.87</v>
      </c>
      <c r="AX145" s="24"/>
      <c r="AY145" s="25" t="s">
        <v>74</v>
      </c>
      <c r="AZ145" s="25"/>
      <c r="BA145" s="24">
        <f>3454381.15</f>
        <v>3454381.15</v>
      </c>
      <c r="BB145" s="24"/>
      <c r="BC145" s="24"/>
      <c r="BD145" s="25" t="s">
        <v>74</v>
      </c>
      <c r="BE145" s="25"/>
      <c r="BF145" s="24">
        <f>3454381.15</f>
        <v>3454381.15</v>
      </c>
      <c r="BG145" s="24"/>
      <c r="BH145" s="28">
        <f>416873.62</f>
        <v>416873.62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3871254.77</f>
        <v>3871254.77</v>
      </c>
      <c r="BR145" s="24"/>
      <c r="BS145" s="24"/>
      <c r="BT145" s="27" t="s">
        <v>74</v>
      </c>
    </row>
    <row r="146" spans="1:72" s="1" customFormat="1" ht="13.5" customHeight="1">
      <c r="A146" s="16" t="s">
        <v>303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211</v>
      </c>
      <c r="N146" s="23"/>
      <c r="O146" s="23"/>
      <c r="P146" s="31" t="s">
        <v>304</v>
      </c>
      <c r="Q146" s="31"/>
      <c r="R146" s="31"/>
      <c r="S146" s="31"/>
      <c r="T146" s="31"/>
      <c r="U146" s="24">
        <f>5273790.96</f>
        <v>5273790.96</v>
      </c>
      <c r="V146" s="24"/>
      <c r="W146" s="24"/>
      <c r="X146" s="25" t="s">
        <v>74</v>
      </c>
      <c r="Y146" s="25"/>
      <c r="Z146" s="25"/>
      <c r="AA146" s="25"/>
      <c r="AB146" s="24">
        <f>5273790.96</f>
        <v>5273790.96</v>
      </c>
      <c r="AC146" s="24"/>
      <c r="AD146" s="24"/>
      <c r="AE146" s="28">
        <f>9596682.91</f>
        <v>9596682.91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14870473.87</f>
        <v>14870473.87</v>
      </c>
      <c r="AX146" s="24"/>
      <c r="AY146" s="25" t="s">
        <v>74</v>
      </c>
      <c r="AZ146" s="25"/>
      <c r="BA146" s="24">
        <f>3417701.15</f>
        <v>3417701.15</v>
      </c>
      <c r="BB146" s="24"/>
      <c r="BC146" s="24"/>
      <c r="BD146" s="25" t="s">
        <v>74</v>
      </c>
      <c r="BE146" s="25"/>
      <c r="BF146" s="24">
        <f>3417701.15</f>
        <v>3417701.15</v>
      </c>
      <c r="BG146" s="24"/>
      <c r="BH146" s="28">
        <f>416873.62</f>
        <v>416873.62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3834574.77</f>
        <v>3834574.77</v>
      </c>
      <c r="BR146" s="24"/>
      <c r="BS146" s="24"/>
      <c r="BT146" s="27" t="s">
        <v>74</v>
      </c>
    </row>
    <row r="147" spans="1:72" s="1" customFormat="1" ht="24" customHeight="1">
      <c r="A147" s="16" t="s">
        <v>230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211</v>
      </c>
      <c r="N147" s="23"/>
      <c r="O147" s="23"/>
      <c r="P147" s="31" t="s">
        <v>305</v>
      </c>
      <c r="Q147" s="31"/>
      <c r="R147" s="31"/>
      <c r="S147" s="31"/>
      <c r="T147" s="31"/>
      <c r="U147" s="24">
        <f>5273790.96</f>
        <v>5273790.96</v>
      </c>
      <c r="V147" s="24"/>
      <c r="W147" s="24"/>
      <c r="X147" s="25" t="s">
        <v>74</v>
      </c>
      <c r="Y147" s="25"/>
      <c r="Z147" s="25"/>
      <c r="AA147" s="25"/>
      <c r="AB147" s="24">
        <f>5273790.96</f>
        <v>5273790.96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5273790.96</f>
        <v>5273790.96</v>
      </c>
      <c r="AX147" s="24"/>
      <c r="AY147" s="25" t="s">
        <v>74</v>
      </c>
      <c r="AZ147" s="25"/>
      <c r="BA147" s="24">
        <f>3417701.15</f>
        <v>3417701.15</v>
      </c>
      <c r="BB147" s="24"/>
      <c r="BC147" s="24"/>
      <c r="BD147" s="25" t="s">
        <v>74</v>
      </c>
      <c r="BE147" s="25"/>
      <c r="BF147" s="24">
        <f>3417701.15</f>
        <v>3417701.15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3417701.15</f>
        <v>3417701.15</v>
      </c>
      <c r="BR147" s="24"/>
      <c r="BS147" s="24"/>
      <c r="BT147" s="27" t="s">
        <v>74</v>
      </c>
    </row>
    <row r="148" spans="1:72" s="1" customFormat="1" ht="24" customHeight="1">
      <c r="A148" s="16" t="s">
        <v>232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211</v>
      </c>
      <c r="N148" s="23"/>
      <c r="O148" s="23"/>
      <c r="P148" s="31" t="s">
        <v>306</v>
      </c>
      <c r="Q148" s="31"/>
      <c r="R148" s="31"/>
      <c r="S148" s="31"/>
      <c r="T148" s="31"/>
      <c r="U148" s="24">
        <f>5273790.96</f>
        <v>5273790.96</v>
      </c>
      <c r="V148" s="24"/>
      <c r="W148" s="24"/>
      <c r="X148" s="25" t="s">
        <v>74</v>
      </c>
      <c r="Y148" s="25"/>
      <c r="Z148" s="25"/>
      <c r="AA148" s="25"/>
      <c r="AB148" s="24">
        <f>5273790.96</f>
        <v>5273790.96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5273790.96</f>
        <v>5273790.96</v>
      </c>
      <c r="AX148" s="24"/>
      <c r="AY148" s="25" t="s">
        <v>74</v>
      </c>
      <c r="AZ148" s="25"/>
      <c r="BA148" s="24">
        <f>3417701.15</f>
        <v>3417701.15</v>
      </c>
      <c r="BB148" s="24"/>
      <c r="BC148" s="24"/>
      <c r="BD148" s="25" t="s">
        <v>74</v>
      </c>
      <c r="BE148" s="25"/>
      <c r="BF148" s="24">
        <f>3417701.15</f>
        <v>3417701.15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3417701.15</f>
        <v>3417701.15</v>
      </c>
      <c r="BR148" s="24"/>
      <c r="BS148" s="24"/>
      <c r="BT148" s="27" t="s">
        <v>74</v>
      </c>
    </row>
    <row r="149" spans="1:72" s="1" customFormat="1" ht="24" customHeight="1">
      <c r="A149" s="16" t="s">
        <v>307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211</v>
      </c>
      <c r="N149" s="23"/>
      <c r="O149" s="23"/>
      <c r="P149" s="31" t="s">
        <v>308</v>
      </c>
      <c r="Q149" s="31"/>
      <c r="R149" s="31"/>
      <c r="S149" s="31"/>
      <c r="T149" s="31"/>
      <c r="U149" s="24">
        <f>22641</f>
        <v>22641</v>
      </c>
      <c r="V149" s="24"/>
      <c r="W149" s="24"/>
      <c r="X149" s="25" t="s">
        <v>74</v>
      </c>
      <c r="Y149" s="25"/>
      <c r="Z149" s="25"/>
      <c r="AA149" s="25"/>
      <c r="AB149" s="24">
        <f>22641</f>
        <v>22641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22641</f>
        <v>22641</v>
      </c>
      <c r="AX149" s="24"/>
      <c r="AY149" s="25" t="s">
        <v>74</v>
      </c>
      <c r="AZ149" s="25"/>
      <c r="BA149" s="25" t="s">
        <v>74</v>
      </c>
      <c r="BB149" s="25"/>
      <c r="BC149" s="25"/>
      <c r="BD149" s="25" t="s">
        <v>74</v>
      </c>
      <c r="BE149" s="25"/>
      <c r="BF149" s="25" t="s">
        <v>74</v>
      </c>
      <c r="BG149" s="25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5" t="s">
        <v>74</v>
      </c>
      <c r="BR149" s="25"/>
      <c r="BS149" s="25"/>
      <c r="BT149" s="27" t="s">
        <v>74</v>
      </c>
    </row>
    <row r="150" spans="1:72" s="1" customFormat="1" ht="13.5" customHeight="1">
      <c r="A150" s="16" t="s">
        <v>234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211</v>
      </c>
      <c r="N150" s="23"/>
      <c r="O150" s="23"/>
      <c r="P150" s="31" t="s">
        <v>309</v>
      </c>
      <c r="Q150" s="31"/>
      <c r="R150" s="31"/>
      <c r="S150" s="31"/>
      <c r="T150" s="31"/>
      <c r="U150" s="24">
        <f>5251149.96</f>
        <v>5251149.96</v>
      </c>
      <c r="V150" s="24"/>
      <c r="W150" s="24"/>
      <c r="X150" s="25" t="s">
        <v>74</v>
      </c>
      <c r="Y150" s="25"/>
      <c r="Z150" s="25"/>
      <c r="AA150" s="25"/>
      <c r="AB150" s="24">
        <f>5251149.96</f>
        <v>5251149.96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5251149.96</f>
        <v>5251149.96</v>
      </c>
      <c r="AX150" s="24"/>
      <c r="AY150" s="25" t="s">
        <v>74</v>
      </c>
      <c r="AZ150" s="25"/>
      <c r="BA150" s="24">
        <f>3417701.15</f>
        <v>3417701.15</v>
      </c>
      <c r="BB150" s="24"/>
      <c r="BC150" s="24"/>
      <c r="BD150" s="25" t="s">
        <v>74</v>
      </c>
      <c r="BE150" s="25"/>
      <c r="BF150" s="24">
        <f>3417701.15</f>
        <v>3417701.15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3417701.15</f>
        <v>3417701.15</v>
      </c>
      <c r="BR150" s="24"/>
      <c r="BS150" s="24"/>
      <c r="BT150" s="27" t="s">
        <v>74</v>
      </c>
    </row>
    <row r="151" spans="1:72" s="1" customFormat="1" ht="13.5" customHeight="1">
      <c r="A151" s="16" t="s">
        <v>248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211</v>
      </c>
      <c r="N151" s="23"/>
      <c r="O151" s="23"/>
      <c r="P151" s="31" t="s">
        <v>310</v>
      </c>
      <c r="Q151" s="31"/>
      <c r="R151" s="31"/>
      <c r="S151" s="31"/>
      <c r="T151" s="31"/>
      <c r="U151" s="24">
        <f>0</f>
        <v>0</v>
      </c>
      <c r="V151" s="24"/>
      <c r="W151" s="24"/>
      <c r="X151" s="25" t="s">
        <v>74</v>
      </c>
      <c r="Y151" s="25"/>
      <c r="Z151" s="25"/>
      <c r="AA151" s="25"/>
      <c r="AB151" s="24">
        <f>0</f>
        <v>0</v>
      </c>
      <c r="AC151" s="24"/>
      <c r="AD151" s="24"/>
      <c r="AE151" s="28">
        <f>9596682.91</f>
        <v>9596682.91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9596682.91</f>
        <v>9596682.91</v>
      </c>
      <c r="AX151" s="24"/>
      <c r="AY151" s="25" t="s">
        <v>74</v>
      </c>
      <c r="AZ151" s="25"/>
      <c r="BA151" s="24">
        <f>0</f>
        <v>0</v>
      </c>
      <c r="BB151" s="24"/>
      <c r="BC151" s="24"/>
      <c r="BD151" s="25" t="s">
        <v>74</v>
      </c>
      <c r="BE151" s="25"/>
      <c r="BF151" s="24">
        <f>0</f>
        <v>0</v>
      </c>
      <c r="BG151" s="24"/>
      <c r="BH151" s="28">
        <f>416873.62</f>
        <v>416873.62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416873.62</f>
        <v>416873.62</v>
      </c>
      <c r="BR151" s="24"/>
      <c r="BS151" s="24"/>
      <c r="BT151" s="27" t="s">
        <v>74</v>
      </c>
    </row>
    <row r="152" spans="1:72" s="1" customFormat="1" ht="13.5" customHeight="1">
      <c r="A152" s="16" t="s">
        <v>198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211</v>
      </c>
      <c r="N152" s="23"/>
      <c r="O152" s="23"/>
      <c r="P152" s="31" t="s">
        <v>311</v>
      </c>
      <c r="Q152" s="31"/>
      <c r="R152" s="31"/>
      <c r="S152" s="31"/>
      <c r="T152" s="31"/>
      <c r="U152" s="24">
        <f>0</f>
        <v>0</v>
      </c>
      <c r="V152" s="24"/>
      <c r="W152" s="24"/>
      <c r="X152" s="25" t="s">
        <v>74</v>
      </c>
      <c r="Y152" s="25"/>
      <c r="Z152" s="25"/>
      <c r="AA152" s="25"/>
      <c r="AB152" s="24">
        <f>0</f>
        <v>0</v>
      </c>
      <c r="AC152" s="24"/>
      <c r="AD152" s="24"/>
      <c r="AE152" s="28">
        <f>9596682.91</f>
        <v>9596682.91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9596682.91</f>
        <v>9596682.91</v>
      </c>
      <c r="AX152" s="24"/>
      <c r="AY152" s="25" t="s">
        <v>74</v>
      </c>
      <c r="AZ152" s="25"/>
      <c r="BA152" s="24">
        <f>0</f>
        <v>0</v>
      </c>
      <c r="BB152" s="24"/>
      <c r="BC152" s="24"/>
      <c r="BD152" s="25" t="s">
        <v>74</v>
      </c>
      <c r="BE152" s="25"/>
      <c r="BF152" s="24">
        <f>0</f>
        <v>0</v>
      </c>
      <c r="BG152" s="24"/>
      <c r="BH152" s="28">
        <f>416873.62</f>
        <v>416873.62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416873.62</f>
        <v>416873.62</v>
      </c>
      <c r="BR152" s="24"/>
      <c r="BS152" s="24"/>
      <c r="BT152" s="27" t="s">
        <v>74</v>
      </c>
    </row>
    <row r="153" spans="1:72" s="1" customFormat="1" ht="13.5" customHeight="1">
      <c r="A153" s="16" t="s">
        <v>312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211</v>
      </c>
      <c r="N153" s="23"/>
      <c r="O153" s="23"/>
      <c r="P153" s="31" t="s">
        <v>313</v>
      </c>
      <c r="Q153" s="31"/>
      <c r="R153" s="31"/>
      <c r="S153" s="31"/>
      <c r="T153" s="31"/>
      <c r="U153" s="24">
        <f>201000</f>
        <v>201000</v>
      </c>
      <c r="V153" s="24"/>
      <c r="W153" s="24"/>
      <c r="X153" s="25" t="s">
        <v>74</v>
      </c>
      <c r="Y153" s="25"/>
      <c r="Z153" s="25"/>
      <c r="AA153" s="25"/>
      <c r="AB153" s="24">
        <f>201000</f>
        <v>201000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201000</f>
        <v>201000</v>
      </c>
      <c r="AX153" s="24"/>
      <c r="AY153" s="25" t="s">
        <v>74</v>
      </c>
      <c r="AZ153" s="25"/>
      <c r="BA153" s="24">
        <f>36680</f>
        <v>36680</v>
      </c>
      <c r="BB153" s="24"/>
      <c r="BC153" s="24"/>
      <c r="BD153" s="25" t="s">
        <v>74</v>
      </c>
      <c r="BE153" s="25"/>
      <c r="BF153" s="24">
        <f>36680</f>
        <v>36680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36680</f>
        <v>36680</v>
      </c>
      <c r="BR153" s="24"/>
      <c r="BS153" s="24"/>
      <c r="BT153" s="27" t="s">
        <v>74</v>
      </c>
    </row>
    <row r="154" spans="1:72" s="1" customFormat="1" ht="24" customHeight="1">
      <c r="A154" s="16" t="s">
        <v>230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211</v>
      </c>
      <c r="N154" s="23"/>
      <c r="O154" s="23"/>
      <c r="P154" s="31" t="s">
        <v>314</v>
      </c>
      <c r="Q154" s="31"/>
      <c r="R154" s="31"/>
      <c r="S154" s="31"/>
      <c r="T154" s="31"/>
      <c r="U154" s="24">
        <f>201000</f>
        <v>201000</v>
      </c>
      <c r="V154" s="24"/>
      <c r="W154" s="24"/>
      <c r="X154" s="25" t="s">
        <v>74</v>
      </c>
      <c r="Y154" s="25"/>
      <c r="Z154" s="25"/>
      <c r="AA154" s="25"/>
      <c r="AB154" s="24">
        <f>201000</f>
        <v>201000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201000</f>
        <v>201000</v>
      </c>
      <c r="AX154" s="24"/>
      <c r="AY154" s="25" t="s">
        <v>74</v>
      </c>
      <c r="AZ154" s="25"/>
      <c r="BA154" s="24">
        <f>36680</f>
        <v>36680</v>
      </c>
      <c r="BB154" s="24"/>
      <c r="BC154" s="24"/>
      <c r="BD154" s="25" t="s">
        <v>74</v>
      </c>
      <c r="BE154" s="25"/>
      <c r="BF154" s="24">
        <f>36680</f>
        <v>36680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36680</f>
        <v>36680</v>
      </c>
      <c r="BR154" s="24"/>
      <c r="BS154" s="24"/>
      <c r="BT154" s="27" t="s">
        <v>74</v>
      </c>
    </row>
    <row r="155" spans="1:72" s="1" customFormat="1" ht="24" customHeight="1">
      <c r="A155" s="16" t="s">
        <v>232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211</v>
      </c>
      <c r="N155" s="23"/>
      <c r="O155" s="23"/>
      <c r="P155" s="31" t="s">
        <v>315</v>
      </c>
      <c r="Q155" s="31"/>
      <c r="R155" s="31"/>
      <c r="S155" s="31"/>
      <c r="T155" s="31"/>
      <c r="U155" s="24">
        <f>201000</f>
        <v>201000</v>
      </c>
      <c r="V155" s="24"/>
      <c r="W155" s="24"/>
      <c r="X155" s="25" t="s">
        <v>74</v>
      </c>
      <c r="Y155" s="25"/>
      <c r="Z155" s="25"/>
      <c r="AA155" s="25"/>
      <c r="AB155" s="24">
        <f>201000</f>
        <v>201000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201000</f>
        <v>201000</v>
      </c>
      <c r="AX155" s="24"/>
      <c r="AY155" s="25" t="s">
        <v>74</v>
      </c>
      <c r="AZ155" s="25"/>
      <c r="BA155" s="24">
        <f>36680</f>
        <v>36680</v>
      </c>
      <c r="BB155" s="24"/>
      <c r="BC155" s="24"/>
      <c r="BD155" s="25" t="s">
        <v>74</v>
      </c>
      <c r="BE155" s="25"/>
      <c r="BF155" s="24">
        <f>36680</f>
        <v>36680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36680</f>
        <v>36680</v>
      </c>
      <c r="BR155" s="24"/>
      <c r="BS155" s="24"/>
      <c r="BT155" s="27" t="s">
        <v>74</v>
      </c>
    </row>
    <row r="156" spans="1:72" s="1" customFormat="1" ht="13.5" customHeight="1">
      <c r="A156" s="16" t="s">
        <v>234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211</v>
      </c>
      <c r="N156" s="23"/>
      <c r="O156" s="23"/>
      <c r="P156" s="31" t="s">
        <v>316</v>
      </c>
      <c r="Q156" s="31"/>
      <c r="R156" s="31"/>
      <c r="S156" s="31"/>
      <c r="T156" s="31"/>
      <c r="U156" s="24">
        <f>201000</f>
        <v>201000</v>
      </c>
      <c r="V156" s="24"/>
      <c r="W156" s="24"/>
      <c r="X156" s="25" t="s">
        <v>74</v>
      </c>
      <c r="Y156" s="25"/>
      <c r="Z156" s="25"/>
      <c r="AA156" s="25"/>
      <c r="AB156" s="24">
        <f>201000</f>
        <v>201000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201000</f>
        <v>201000</v>
      </c>
      <c r="AX156" s="24"/>
      <c r="AY156" s="25" t="s">
        <v>74</v>
      </c>
      <c r="AZ156" s="25"/>
      <c r="BA156" s="24">
        <f>36680</f>
        <v>36680</v>
      </c>
      <c r="BB156" s="24"/>
      <c r="BC156" s="24"/>
      <c r="BD156" s="25" t="s">
        <v>74</v>
      </c>
      <c r="BE156" s="25"/>
      <c r="BF156" s="24">
        <f>36680</f>
        <v>36680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36680</f>
        <v>36680</v>
      </c>
      <c r="BR156" s="24"/>
      <c r="BS156" s="24"/>
      <c r="BT156" s="27" t="s">
        <v>74</v>
      </c>
    </row>
    <row r="157" spans="1:72" s="1" customFormat="1" ht="13.5" customHeight="1">
      <c r="A157" s="16" t="s">
        <v>317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211</v>
      </c>
      <c r="N157" s="23"/>
      <c r="O157" s="23"/>
      <c r="P157" s="31" t="s">
        <v>318</v>
      </c>
      <c r="Q157" s="31"/>
      <c r="R157" s="31"/>
      <c r="S157" s="31"/>
      <c r="T157" s="31"/>
      <c r="U157" s="24">
        <f>24395436</f>
        <v>24395436</v>
      </c>
      <c r="V157" s="24"/>
      <c r="W157" s="24"/>
      <c r="X157" s="25" t="s">
        <v>74</v>
      </c>
      <c r="Y157" s="25"/>
      <c r="Z157" s="25"/>
      <c r="AA157" s="25"/>
      <c r="AB157" s="24">
        <f>24395436</f>
        <v>24395436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24395436</f>
        <v>24395436</v>
      </c>
      <c r="AX157" s="24"/>
      <c r="AY157" s="25" t="s">
        <v>74</v>
      </c>
      <c r="AZ157" s="25"/>
      <c r="BA157" s="24">
        <f>19282856.69</f>
        <v>19282856.69</v>
      </c>
      <c r="BB157" s="24"/>
      <c r="BC157" s="24"/>
      <c r="BD157" s="25" t="s">
        <v>74</v>
      </c>
      <c r="BE157" s="25"/>
      <c r="BF157" s="24">
        <f>19282856.69</f>
        <v>19282856.69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19282856.69</f>
        <v>19282856.69</v>
      </c>
      <c r="BR157" s="24"/>
      <c r="BS157" s="24"/>
      <c r="BT157" s="27" t="s">
        <v>74</v>
      </c>
    </row>
    <row r="158" spans="1:72" s="1" customFormat="1" ht="13.5" customHeight="1">
      <c r="A158" s="16" t="s">
        <v>319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211</v>
      </c>
      <c r="N158" s="23"/>
      <c r="O158" s="23"/>
      <c r="P158" s="31" t="s">
        <v>320</v>
      </c>
      <c r="Q158" s="31"/>
      <c r="R158" s="31"/>
      <c r="S158" s="31"/>
      <c r="T158" s="31"/>
      <c r="U158" s="24">
        <f>763000</f>
        <v>763000</v>
      </c>
      <c r="V158" s="24"/>
      <c r="W158" s="24"/>
      <c r="X158" s="25" t="s">
        <v>74</v>
      </c>
      <c r="Y158" s="25"/>
      <c r="Z158" s="25"/>
      <c r="AA158" s="25"/>
      <c r="AB158" s="24">
        <f>763000</f>
        <v>763000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763000</f>
        <v>763000</v>
      </c>
      <c r="AX158" s="24"/>
      <c r="AY158" s="25" t="s">
        <v>74</v>
      </c>
      <c r="AZ158" s="25"/>
      <c r="BA158" s="24">
        <f>465360.34</f>
        <v>465360.34</v>
      </c>
      <c r="BB158" s="24"/>
      <c r="BC158" s="24"/>
      <c r="BD158" s="25" t="s">
        <v>74</v>
      </c>
      <c r="BE158" s="25"/>
      <c r="BF158" s="24">
        <f>465360.34</f>
        <v>465360.34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465360.34</f>
        <v>465360.34</v>
      </c>
      <c r="BR158" s="24"/>
      <c r="BS158" s="24"/>
      <c r="BT158" s="27" t="s">
        <v>74</v>
      </c>
    </row>
    <row r="159" spans="1:72" s="1" customFormat="1" ht="24" customHeight="1">
      <c r="A159" s="16" t="s">
        <v>230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211</v>
      </c>
      <c r="N159" s="23"/>
      <c r="O159" s="23"/>
      <c r="P159" s="31" t="s">
        <v>321</v>
      </c>
      <c r="Q159" s="31"/>
      <c r="R159" s="31"/>
      <c r="S159" s="31"/>
      <c r="T159" s="31"/>
      <c r="U159" s="24">
        <f>763000</f>
        <v>763000</v>
      </c>
      <c r="V159" s="24"/>
      <c r="W159" s="24"/>
      <c r="X159" s="25" t="s">
        <v>74</v>
      </c>
      <c r="Y159" s="25"/>
      <c r="Z159" s="25"/>
      <c r="AA159" s="25"/>
      <c r="AB159" s="24">
        <f>763000</f>
        <v>763000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763000</f>
        <v>763000</v>
      </c>
      <c r="AX159" s="24"/>
      <c r="AY159" s="25" t="s">
        <v>74</v>
      </c>
      <c r="AZ159" s="25"/>
      <c r="BA159" s="24">
        <f>465360.34</f>
        <v>465360.34</v>
      </c>
      <c r="BB159" s="24"/>
      <c r="BC159" s="24"/>
      <c r="BD159" s="25" t="s">
        <v>74</v>
      </c>
      <c r="BE159" s="25"/>
      <c r="BF159" s="24">
        <f>465360.34</f>
        <v>465360.34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465360.34</f>
        <v>465360.34</v>
      </c>
      <c r="BR159" s="24"/>
      <c r="BS159" s="24"/>
      <c r="BT159" s="27" t="s">
        <v>74</v>
      </c>
    </row>
    <row r="160" spans="1:72" s="1" customFormat="1" ht="24" customHeight="1">
      <c r="A160" s="16" t="s">
        <v>232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211</v>
      </c>
      <c r="N160" s="23"/>
      <c r="O160" s="23"/>
      <c r="P160" s="31" t="s">
        <v>322</v>
      </c>
      <c r="Q160" s="31"/>
      <c r="R160" s="31"/>
      <c r="S160" s="31"/>
      <c r="T160" s="31"/>
      <c r="U160" s="24">
        <f>763000</f>
        <v>763000</v>
      </c>
      <c r="V160" s="24"/>
      <c r="W160" s="24"/>
      <c r="X160" s="25" t="s">
        <v>74</v>
      </c>
      <c r="Y160" s="25"/>
      <c r="Z160" s="25"/>
      <c r="AA160" s="25"/>
      <c r="AB160" s="24">
        <f>763000</f>
        <v>763000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763000</f>
        <v>763000</v>
      </c>
      <c r="AX160" s="24"/>
      <c r="AY160" s="25" t="s">
        <v>74</v>
      </c>
      <c r="AZ160" s="25"/>
      <c r="BA160" s="24">
        <f>465360.34</f>
        <v>465360.34</v>
      </c>
      <c r="BB160" s="24"/>
      <c r="BC160" s="24"/>
      <c r="BD160" s="25" t="s">
        <v>74</v>
      </c>
      <c r="BE160" s="25"/>
      <c r="BF160" s="24">
        <f>465360.34</f>
        <v>465360.34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465360.34</f>
        <v>465360.34</v>
      </c>
      <c r="BR160" s="24"/>
      <c r="BS160" s="24"/>
      <c r="BT160" s="27" t="s">
        <v>74</v>
      </c>
    </row>
    <row r="161" spans="1:72" s="1" customFormat="1" ht="13.5" customHeight="1">
      <c r="A161" s="16" t="s">
        <v>234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211</v>
      </c>
      <c r="N161" s="23"/>
      <c r="O161" s="23"/>
      <c r="P161" s="31" t="s">
        <v>323</v>
      </c>
      <c r="Q161" s="31"/>
      <c r="R161" s="31"/>
      <c r="S161" s="31"/>
      <c r="T161" s="31"/>
      <c r="U161" s="24">
        <f>763000</f>
        <v>763000</v>
      </c>
      <c r="V161" s="24"/>
      <c r="W161" s="24"/>
      <c r="X161" s="25" t="s">
        <v>74</v>
      </c>
      <c r="Y161" s="25"/>
      <c r="Z161" s="25"/>
      <c r="AA161" s="25"/>
      <c r="AB161" s="24">
        <f>763000</f>
        <v>763000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763000</f>
        <v>763000</v>
      </c>
      <c r="AX161" s="24"/>
      <c r="AY161" s="25" t="s">
        <v>74</v>
      </c>
      <c r="AZ161" s="25"/>
      <c r="BA161" s="24">
        <f>465360.34</f>
        <v>465360.34</v>
      </c>
      <c r="BB161" s="24"/>
      <c r="BC161" s="24"/>
      <c r="BD161" s="25" t="s">
        <v>74</v>
      </c>
      <c r="BE161" s="25"/>
      <c r="BF161" s="24">
        <f>465360.34</f>
        <v>465360.34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465360.34</f>
        <v>465360.34</v>
      </c>
      <c r="BR161" s="24"/>
      <c r="BS161" s="24"/>
      <c r="BT161" s="27" t="s">
        <v>74</v>
      </c>
    </row>
    <row r="162" spans="1:72" s="1" customFormat="1" ht="13.5" customHeight="1">
      <c r="A162" s="16" t="s">
        <v>324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211</v>
      </c>
      <c r="N162" s="23"/>
      <c r="O162" s="23"/>
      <c r="P162" s="31" t="s">
        <v>325</v>
      </c>
      <c r="Q162" s="31"/>
      <c r="R162" s="31"/>
      <c r="S162" s="31"/>
      <c r="T162" s="31"/>
      <c r="U162" s="24">
        <f>23632436</f>
        <v>23632436</v>
      </c>
      <c r="V162" s="24"/>
      <c r="W162" s="24"/>
      <c r="X162" s="25" t="s">
        <v>74</v>
      </c>
      <c r="Y162" s="25"/>
      <c r="Z162" s="25"/>
      <c r="AA162" s="25"/>
      <c r="AB162" s="24">
        <f>23632436</f>
        <v>23632436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23632436</f>
        <v>23632436</v>
      </c>
      <c r="AX162" s="24"/>
      <c r="AY162" s="25" t="s">
        <v>74</v>
      </c>
      <c r="AZ162" s="25"/>
      <c r="BA162" s="24">
        <f>18817496.35</f>
        <v>18817496.35</v>
      </c>
      <c r="BB162" s="24"/>
      <c r="BC162" s="24"/>
      <c r="BD162" s="25" t="s">
        <v>74</v>
      </c>
      <c r="BE162" s="25"/>
      <c r="BF162" s="24">
        <f>18817496.35</f>
        <v>18817496.35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18817496.35</f>
        <v>18817496.35</v>
      </c>
      <c r="BR162" s="24"/>
      <c r="BS162" s="24"/>
      <c r="BT162" s="27" t="s">
        <v>74</v>
      </c>
    </row>
    <row r="163" spans="1:72" s="1" customFormat="1" ht="54.75" customHeight="1">
      <c r="A163" s="16" t="s">
        <v>216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211</v>
      </c>
      <c r="N163" s="23"/>
      <c r="O163" s="23"/>
      <c r="P163" s="31" t="s">
        <v>326</v>
      </c>
      <c r="Q163" s="31"/>
      <c r="R163" s="31"/>
      <c r="S163" s="31"/>
      <c r="T163" s="31"/>
      <c r="U163" s="24">
        <f>2381051</f>
        <v>2381051</v>
      </c>
      <c r="V163" s="24"/>
      <c r="W163" s="24"/>
      <c r="X163" s="25" t="s">
        <v>74</v>
      </c>
      <c r="Y163" s="25"/>
      <c r="Z163" s="25"/>
      <c r="AA163" s="25"/>
      <c r="AB163" s="24">
        <f>2381051</f>
        <v>2381051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2381051</f>
        <v>2381051</v>
      </c>
      <c r="AX163" s="24"/>
      <c r="AY163" s="25" t="s">
        <v>74</v>
      </c>
      <c r="AZ163" s="25"/>
      <c r="BA163" s="24">
        <f>1538803.2</f>
        <v>1538803.2</v>
      </c>
      <c r="BB163" s="24"/>
      <c r="BC163" s="24"/>
      <c r="BD163" s="25" t="s">
        <v>74</v>
      </c>
      <c r="BE163" s="25"/>
      <c r="BF163" s="24">
        <f>1538803.2</f>
        <v>1538803.2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1538803.2</f>
        <v>1538803.2</v>
      </c>
      <c r="BR163" s="24"/>
      <c r="BS163" s="24"/>
      <c r="BT163" s="27" t="s">
        <v>74</v>
      </c>
    </row>
    <row r="164" spans="1:72" s="1" customFormat="1" ht="13.5" customHeight="1">
      <c r="A164" s="16" t="s">
        <v>264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211</v>
      </c>
      <c r="N164" s="23"/>
      <c r="O164" s="23"/>
      <c r="P164" s="31" t="s">
        <v>327</v>
      </c>
      <c r="Q164" s="31"/>
      <c r="R164" s="31"/>
      <c r="S164" s="31"/>
      <c r="T164" s="31"/>
      <c r="U164" s="24">
        <f>2381051</f>
        <v>2381051</v>
      </c>
      <c r="V164" s="24"/>
      <c r="W164" s="24"/>
      <c r="X164" s="25" t="s">
        <v>74</v>
      </c>
      <c r="Y164" s="25"/>
      <c r="Z164" s="25"/>
      <c r="AA164" s="25"/>
      <c r="AB164" s="24">
        <f>2381051</f>
        <v>2381051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2381051</f>
        <v>2381051</v>
      </c>
      <c r="AX164" s="24"/>
      <c r="AY164" s="25" t="s">
        <v>74</v>
      </c>
      <c r="AZ164" s="25"/>
      <c r="BA164" s="24">
        <f>1538803.2</f>
        <v>1538803.2</v>
      </c>
      <c r="BB164" s="24"/>
      <c r="BC164" s="24"/>
      <c r="BD164" s="25" t="s">
        <v>74</v>
      </c>
      <c r="BE164" s="25"/>
      <c r="BF164" s="24">
        <f>1538803.2</f>
        <v>1538803.2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1538803.2</f>
        <v>1538803.2</v>
      </c>
      <c r="BR164" s="24"/>
      <c r="BS164" s="24"/>
      <c r="BT164" s="27" t="s">
        <v>74</v>
      </c>
    </row>
    <row r="165" spans="1:72" s="1" customFormat="1" ht="13.5" customHeight="1">
      <c r="A165" s="16" t="s">
        <v>266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211</v>
      </c>
      <c r="N165" s="23"/>
      <c r="O165" s="23"/>
      <c r="P165" s="31" t="s">
        <v>328</v>
      </c>
      <c r="Q165" s="31"/>
      <c r="R165" s="31"/>
      <c r="S165" s="31"/>
      <c r="T165" s="31"/>
      <c r="U165" s="24">
        <f>1827720</f>
        <v>1827720</v>
      </c>
      <c r="V165" s="24"/>
      <c r="W165" s="24"/>
      <c r="X165" s="25" t="s">
        <v>74</v>
      </c>
      <c r="Y165" s="25"/>
      <c r="Z165" s="25"/>
      <c r="AA165" s="25"/>
      <c r="AB165" s="24">
        <f>1827720</f>
        <v>1827720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1827720</f>
        <v>1827720</v>
      </c>
      <c r="AX165" s="24"/>
      <c r="AY165" s="25" t="s">
        <v>74</v>
      </c>
      <c r="AZ165" s="25"/>
      <c r="BA165" s="24">
        <f>1205042.2</f>
        <v>1205042.2</v>
      </c>
      <c r="BB165" s="24"/>
      <c r="BC165" s="24"/>
      <c r="BD165" s="25" t="s">
        <v>74</v>
      </c>
      <c r="BE165" s="25"/>
      <c r="BF165" s="24">
        <f>1205042.2</f>
        <v>1205042.2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1205042.2</f>
        <v>1205042.2</v>
      </c>
      <c r="BR165" s="24"/>
      <c r="BS165" s="24"/>
      <c r="BT165" s="27" t="s">
        <v>74</v>
      </c>
    </row>
    <row r="166" spans="1:72" s="1" customFormat="1" ht="33.75" customHeight="1">
      <c r="A166" s="16" t="s">
        <v>268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211</v>
      </c>
      <c r="N166" s="23"/>
      <c r="O166" s="23"/>
      <c r="P166" s="31" t="s">
        <v>329</v>
      </c>
      <c r="Q166" s="31"/>
      <c r="R166" s="31"/>
      <c r="S166" s="31"/>
      <c r="T166" s="31"/>
      <c r="U166" s="24">
        <f>553331</f>
        <v>553331</v>
      </c>
      <c r="V166" s="24"/>
      <c r="W166" s="24"/>
      <c r="X166" s="25" t="s">
        <v>74</v>
      </c>
      <c r="Y166" s="25"/>
      <c r="Z166" s="25"/>
      <c r="AA166" s="25"/>
      <c r="AB166" s="24">
        <f>553331</f>
        <v>553331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553331</f>
        <v>553331</v>
      </c>
      <c r="AX166" s="24"/>
      <c r="AY166" s="25" t="s">
        <v>74</v>
      </c>
      <c r="AZ166" s="25"/>
      <c r="BA166" s="24">
        <f>333761</f>
        <v>333761</v>
      </c>
      <c r="BB166" s="24"/>
      <c r="BC166" s="24"/>
      <c r="BD166" s="25" t="s">
        <v>74</v>
      </c>
      <c r="BE166" s="25"/>
      <c r="BF166" s="24">
        <f>333761</f>
        <v>333761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333761</f>
        <v>333761</v>
      </c>
      <c r="BR166" s="24"/>
      <c r="BS166" s="24"/>
      <c r="BT166" s="27" t="s">
        <v>74</v>
      </c>
    </row>
    <row r="167" spans="1:72" s="1" customFormat="1" ht="24" customHeight="1">
      <c r="A167" s="16" t="s">
        <v>230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211</v>
      </c>
      <c r="N167" s="23"/>
      <c r="O167" s="23"/>
      <c r="P167" s="31" t="s">
        <v>330</v>
      </c>
      <c r="Q167" s="31"/>
      <c r="R167" s="31"/>
      <c r="S167" s="31"/>
      <c r="T167" s="31"/>
      <c r="U167" s="24">
        <f>21161385</f>
        <v>21161385</v>
      </c>
      <c r="V167" s="24"/>
      <c r="W167" s="24"/>
      <c r="X167" s="25" t="s">
        <v>74</v>
      </c>
      <c r="Y167" s="25"/>
      <c r="Z167" s="25"/>
      <c r="AA167" s="25"/>
      <c r="AB167" s="24">
        <f>21161385</f>
        <v>21161385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21161385</f>
        <v>21161385</v>
      </c>
      <c r="AX167" s="24"/>
      <c r="AY167" s="25" t="s">
        <v>74</v>
      </c>
      <c r="AZ167" s="25"/>
      <c r="BA167" s="24">
        <f>17213693.15</f>
        <v>17213693.15</v>
      </c>
      <c r="BB167" s="24"/>
      <c r="BC167" s="24"/>
      <c r="BD167" s="25" t="s">
        <v>74</v>
      </c>
      <c r="BE167" s="25"/>
      <c r="BF167" s="24">
        <f>17213693.15</f>
        <v>17213693.15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17213693.15</f>
        <v>17213693.15</v>
      </c>
      <c r="BR167" s="24"/>
      <c r="BS167" s="24"/>
      <c r="BT167" s="27" t="s">
        <v>74</v>
      </c>
    </row>
    <row r="168" spans="1:72" s="1" customFormat="1" ht="24" customHeight="1">
      <c r="A168" s="16" t="s">
        <v>232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211</v>
      </c>
      <c r="N168" s="23"/>
      <c r="O168" s="23"/>
      <c r="P168" s="31" t="s">
        <v>331</v>
      </c>
      <c r="Q168" s="31"/>
      <c r="R168" s="31"/>
      <c r="S168" s="31"/>
      <c r="T168" s="31"/>
      <c r="U168" s="24">
        <f>21161385</f>
        <v>21161385</v>
      </c>
      <c r="V168" s="24"/>
      <c r="W168" s="24"/>
      <c r="X168" s="25" t="s">
        <v>74</v>
      </c>
      <c r="Y168" s="25"/>
      <c r="Z168" s="25"/>
      <c r="AA168" s="25"/>
      <c r="AB168" s="24">
        <f>21161385</f>
        <v>21161385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21161385</f>
        <v>21161385</v>
      </c>
      <c r="AX168" s="24"/>
      <c r="AY168" s="25" t="s">
        <v>74</v>
      </c>
      <c r="AZ168" s="25"/>
      <c r="BA168" s="24">
        <f>17213693.15</f>
        <v>17213693.15</v>
      </c>
      <c r="BB168" s="24"/>
      <c r="BC168" s="24"/>
      <c r="BD168" s="25" t="s">
        <v>74</v>
      </c>
      <c r="BE168" s="25"/>
      <c r="BF168" s="24">
        <f>17213693.15</f>
        <v>17213693.15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17213693.15</f>
        <v>17213693.15</v>
      </c>
      <c r="BR168" s="24"/>
      <c r="BS168" s="24"/>
      <c r="BT168" s="27" t="s">
        <v>74</v>
      </c>
    </row>
    <row r="169" spans="1:72" s="1" customFormat="1" ht="13.5" customHeight="1">
      <c r="A169" s="16" t="s">
        <v>234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211</v>
      </c>
      <c r="N169" s="23"/>
      <c r="O169" s="23"/>
      <c r="P169" s="31" t="s">
        <v>332</v>
      </c>
      <c r="Q169" s="31"/>
      <c r="R169" s="31"/>
      <c r="S169" s="31"/>
      <c r="T169" s="31"/>
      <c r="U169" s="24">
        <f>18961385</f>
        <v>18961385</v>
      </c>
      <c r="V169" s="24"/>
      <c r="W169" s="24"/>
      <c r="X169" s="25" t="s">
        <v>74</v>
      </c>
      <c r="Y169" s="25"/>
      <c r="Z169" s="25"/>
      <c r="AA169" s="25"/>
      <c r="AB169" s="24">
        <f>18961385</f>
        <v>18961385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18961385</f>
        <v>18961385</v>
      </c>
      <c r="AX169" s="24"/>
      <c r="AY169" s="25" t="s">
        <v>74</v>
      </c>
      <c r="AZ169" s="25"/>
      <c r="BA169" s="24">
        <f>16056580.75</f>
        <v>16056580.75</v>
      </c>
      <c r="BB169" s="24"/>
      <c r="BC169" s="24"/>
      <c r="BD169" s="25" t="s">
        <v>74</v>
      </c>
      <c r="BE169" s="25"/>
      <c r="BF169" s="24">
        <f>16056580.75</f>
        <v>16056580.75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16056580.75</f>
        <v>16056580.75</v>
      </c>
      <c r="BR169" s="24"/>
      <c r="BS169" s="24"/>
      <c r="BT169" s="27" t="s">
        <v>74</v>
      </c>
    </row>
    <row r="170" spans="1:72" s="1" customFormat="1" ht="13.5" customHeight="1">
      <c r="A170" s="16" t="s">
        <v>236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211</v>
      </c>
      <c r="N170" s="23"/>
      <c r="O170" s="23"/>
      <c r="P170" s="31" t="s">
        <v>333</v>
      </c>
      <c r="Q170" s="31"/>
      <c r="R170" s="31"/>
      <c r="S170" s="31"/>
      <c r="T170" s="31"/>
      <c r="U170" s="24">
        <f>2200000</f>
        <v>2200000</v>
      </c>
      <c r="V170" s="24"/>
      <c r="W170" s="24"/>
      <c r="X170" s="25" t="s">
        <v>74</v>
      </c>
      <c r="Y170" s="25"/>
      <c r="Z170" s="25"/>
      <c r="AA170" s="25"/>
      <c r="AB170" s="24">
        <f>2200000</f>
        <v>2200000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2200000</f>
        <v>2200000</v>
      </c>
      <c r="AX170" s="24"/>
      <c r="AY170" s="25" t="s">
        <v>74</v>
      </c>
      <c r="AZ170" s="25"/>
      <c r="BA170" s="24">
        <f>1157112.4</f>
        <v>1157112.4</v>
      </c>
      <c r="BB170" s="24"/>
      <c r="BC170" s="24"/>
      <c r="BD170" s="25" t="s">
        <v>74</v>
      </c>
      <c r="BE170" s="25"/>
      <c r="BF170" s="24">
        <f>1157112.4</f>
        <v>1157112.4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1157112.4</f>
        <v>1157112.4</v>
      </c>
      <c r="BR170" s="24"/>
      <c r="BS170" s="24"/>
      <c r="BT170" s="27" t="s">
        <v>74</v>
      </c>
    </row>
    <row r="171" spans="1:72" s="1" customFormat="1" ht="13.5" customHeight="1">
      <c r="A171" s="16" t="s">
        <v>238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211</v>
      </c>
      <c r="N171" s="23"/>
      <c r="O171" s="23"/>
      <c r="P171" s="31" t="s">
        <v>334</v>
      </c>
      <c r="Q171" s="31"/>
      <c r="R171" s="31"/>
      <c r="S171" s="31"/>
      <c r="T171" s="31"/>
      <c r="U171" s="24">
        <f>90000</f>
        <v>90000</v>
      </c>
      <c r="V171" s="24"/>
      <c r="W171" s="24"/>
      <c r="X171" s="25" t="s">
        <v>74</v>
      </c>
      <c r="Y171" s="25"/>
      <c r="Z171" s="25"/>
      <c r="AA171" s="25"/>
      <c r="AB171" s="24">
        <f>90000</f>
        <v>90000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90000</f>
        <v>90000</v>
      </c>
      <c r="AX171" s="24"/>
      <c r="AY171" s="25" t="s">
        <v>74</v>
      </c>
      <c r="AZ171" s="25"/>
      <c r="BA171" s="24">
        <f>65000</f>
        <v>65000</v>
      </c>
      <c r="BB171" s="24"/>
      <c r="BC171" s="24"/>
      <c r="BD171" s="25" t="s">
        <v>74</v>
      </c>
      <c r="BE171" s="25"/>
      <c r="BF171" s="24">
        <f>65000</f>
        <v>65000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65000</f>
        <v>65000</v>
      </c>
      <c r="BR171" s="24"/>
      <c r="BS171" s="24"/>
      <c r="BT171" s="27" t="s">
        <v>74</v>
      </c>
    </row>
    <row r="172" spans="1:72" s="1" customFormat="1" ht="13.5" customHeight="1">
      <c r="A172" s="16" t="s">
        <v>240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211</v>
      </c>
      <c r="N172" s="23"/>
      <c r="O172" s="23"/>
      <c r="P172" s="31" t="s">
        <v>335</v>
      </c>
      <c r="Q172" s="31"/>
      <c r="R172" s="31"/>
      <c r="S172" s="31"/>
      <c r="T172" s="31"/>
      <c r="U172" s="24">
        <f>90000</f>
        <v>90000</v>
      </c>
      <c r="V172" s="24"/>
      <c r="W172" s="24"/>
      <c r="X172" s="25" t="s">
        <v>74</v>
      </c>
      <c r="Y172" s="25"/>
      <c r="Z172" s="25"/>
      <c r="AA172" s="25"/>
      <c r="AB172" s="24">
        <f>90000</f>
        <v>90000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90000</f>
        <v>90000</v>
      </c>
      <c r="AX172" s="24"/>
      <c r="AY172" s="25" t="s">
        <v>74</v>
      </c>
      <c r="AZ172" s="25"/>
      <c r="BA172" s="24">
        <f>65000</f>
        <v>65000</v>
      </c>
      <c r="BB172" s="24"/>
      <c r="BC172" s="24"/>
      <c r="BD172" s="25" t="s">
        <v>74</v>
      </c>
      <c r="BE172" s="25"/>
      <c r="BF172" s="24">
        <f>65000</f>
        <v>65000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65000</f>
        <v>65000</v>
      </c>
      <c r="BR172" s="24"/>
      <c r="BS172" s="24"/>
      <c r="BT172" s="27" t="s">
        <v>74</v>
      </c>
    </row>
    <row r="173" spans="1:72" s="1" customFormat="1" ht="24" customHeight="1">
      <c r="A173" s="16" t="s">
        <v>242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211</v>
      </c>
      <c r="N173" s="23"/>
      <c r="O173" s="23"/>
      <c r="P173" s="31" t="s">
        <v>336</v>
      </c>
      <c r="Q173" s="31"/>
      <c r="R173" s="31"/>
      <c r="S173" s="31"/>
      <c r="T173" s="31"/>
      <c r="U173" s="24">
        <f>80000</f>
        <v>80000</v>
      </c>
      <c r="V173" s="24"/>
      <c r="W173" s="24"/>
      <c r="X173" s="25" t="s">
        <v>74</v>
      </c>
      <c r="Y173" s="25"/>
      <c r="Z173" s="25"/>
      <c r="AA173" s="25"/>
      <c r="AB173" s="24">
        <f>80000</f>
        <v>80000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80000</f>
        <v>80000</v>
      </c>
      <c r="AX173" s="24"/>
      <c r="AY173" s="25" t="s">
        <v>74</v>
      </c>
      <c r="AZ173" s="25"/>
      <c r="BA173" s="24">
        <f>65000</f>
        <v>65000</v>
      </c>
      <c r="BB173" s="24"/>
      <c r="BC173" s="24"/>
      <c r="BD173" s="25" t="s">
        <v>74</v>
      </c>
      <c r="BE173" s="25"/>
      <c r="BF173" s="24">
        <f>65000</f>
        <v>65000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65000</f>
        <v>65000</v>
      </c>
      <c r="BR173" s="24"/>
      <c r="BS173" s="24"/>
      <c r="BT173" s="27" t="s">
        <v>74</v>
      </c>
    </row>
    <row r="174" spans="1:72" s="1" customFormat="1" ht="13.5" customHeight="1">
      <c r="A174" s="16" t="s">
        <v>244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211</v>
      </c>
      <c r="N174" s="23"/>
      <c r="O174" s="23"/>
      <c r="P174" s="31" t="s">
        <v>337</v>
      </c>
      <c r="Q174" s="31"/>
      <c r="R174" s="31"/>
      <c r="S174" s="31"/>
      <c r="T174" s="31"/>
      <c r="U174" s="24">
        <f>10000</f>
        <v>10000</v>
      </c>
      <c r="V174" s="24"/>
      <c r="W174" s="24"/>
      <c r="X174" s="25" t="s">
        <v>74</v>
      </c>
      <c r="Y174" s="25"/>
      <c r="Z174" s="25"/>
      <c r="AA174" s="25"/>
      <c r="AB174" s="24">
        <f>10000</f>
        <v>10000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10000</f>
        <v>10000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338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211</v>
      </c>
      <c r="N175" s="23"/>
      <c r="O175" s="23"/>
      <c r="P175" s="31" t="s">
        <v>339</v>
      </c>
      <c r="Q175" s="31"/>
      <c r="R175" s="31"/>
      <c r="S175" s="31"/>
      <c r="T175" s="31"/>
      <c r="U175" s="24">
        <f>155500</f>
        <v>155500</v>
      </c>
      <c r="V175" s="24"/>
      <c r="W175" s="24"/>
      <c r="X175" s="25" t="s">
        <v>74</v>
      </c>
      <c r="Y175" s="25"/>
      <c r="Z175" s="25"/>
      <c r="AA175" s="25"/>
      <c r="AB175" s="24">
        <f>155500</f>
        <v>155500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155500</f>
        <v>155500</v>
      </c>
      <c r="AX175" s="24"/>
      <c r="AY175" s="25" t="s">
        <v>74</v>
      </c>
      <c r="AZ175" s="25"/>
      <c r="BA175" s="24">
        <f>69204</f>
        <v>69204</v>
      </c>
      <c r="BB175" s="24"/>
      <c r="BC175" s="24"/>
      <c r="BD175" s="25" t="s">
        <v>74</v>
      </c>
      <c r="BE175" s="25"/>
      <c r="BF175" s="24">
        <f>69204</f>
        <v>69204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69204</f>
        <v>69204</v>
      </c>
      <c r="BR175" s="24"/>
      <c r="BS175" s="24"/>
      <c r="BT175" s="27" t="s">
        <v>74</v>
      </c>
    </row>
    <row r="176" spans="1:72" s="1" customFormat="1" ht="24" customHeight="1">
      <c r="A176" s="16" t="s">
        <v>340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211</v>
      </c>
      <c r="N176" s="23"/>
      <c r="O176" s="23"/>
      <c r="P176" s="31" t="s">
        <v>341</v>
      </c>
      <c r="Q176" s="31"/>
      <c r="R176" s="31"/>
      <c r="S176" s="31"/>
      <c r="T176" s="31"/>
      <c r="U176" s="24">
        <f>30000</f>
        <v>30000</v>
      </c>
      <c r="V176" s="24"/>
      <c r="W176" s="24"/>
      <c r="X176" s="25" t="s">
        <v>74</v>
      </c>
      <c r="Y176" s="25"/>
      <c r="Z176" s="25"/>
      <c r="AA176" s="25"/>
      <c r="AB176" s="24">
        <f>30000</f>
        <v>30000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30000</f>
        <v>30000</v>
      </c>
      <c r="AX176" s="24"/>
      <c r="AY176" s="25" t="s">
        <v>74</v>
      </c>
      <c r="AZ176" s="25"/>
      <c r="BA176" s="24">
        <f>5000</f>
        <v>5000</v>
      </c>
      <c r="BB176" s="24"/>
      <c r="BC176" s="24"/>
      <c r="BD176" s="25" t="s">
        <v>74</v>
      </c>
      <c r="BE176" s="25"/>
      <c r="BF176" s="24">
        <f>5000</f>
        <v>5000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5000</f>
        <v>5000</v>
      </c>
      <c r="BR176" s="24"/>
      <c r="BS176" s="24"/>
      <c r="BT176" s="27" t="s">
        <v>74</v>
      </c>
    </row>
    <row r="177" spans="1:72" s="1" customFormat="1" ht="24" customHeight="1">
      <c r="A177" s="16" t="s">
        <v>230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211</v>
      </c>
      <c r="N177" s="23"/>
      <c r="O177" s="23"/>
      <c r="P177" s="31" t="s">
        <v>342</v>
      </c>
      <c r="Q177" s="31"/>
      <c r="R177" s="31"/>
      <c r="S177" s="31"/>
      <c r="T177" s="31"/>
      <c r="U177" s="24">
        <f>30000</f>
        <v>30000</v>
      </c>
      <c r="V177" s="24"/>
      <c r="W177" s="24"/>
      <c r="X177" s="25" t="s">
        <v>74</v>
      </c>
      <c r="Y177" s="25"/>
      <c r="Z177" s="25"/>
      <c r="AA177" s="25"/>
      <c r="AB177" s="24">
        <f>30000</f>
        <v>30000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30000</f>
        <v>30000</v>
      </c>
      <c r="AX177" s="24"/>
      <c r="AY177" s="25" t="s">
        <v>74</v>
      </c>
      <c r="AZ177" s="25"/>
      <c r="BA177" s="24">
        <f>5000</f>
        <v>5000</v>
      </c>
      <c r="BB177" s="24"/>
      <c r="BC177" s="24"/>
      <c r="BD177" s="25" t="s">
        <v>74</v>
      </c>
      <c r="BE177" s="25"/>
      <c r="BF177" s="24">
        <f>5000</f>
        <v>5000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5000</f>
        <v>5000</v>
      </c>
      <c r="BR177" s="24"/>
      <c r="BS177" s="24"/>
      <c r="BT177" s="27" t="s">
        <v>74</v>
      </c>
    </row>
    <row r="178" spans="1:72" s="1" customFormat="1" ht="24" customHeight="1">
      <c r="A178" s="16" t="s">
        <v>232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211</v>
      </c>
      <c r="N178" s="23"/>
      <c r="O178" s="23"/>
      <c r="P178" s="31" t="s">
        <v>343</v>
      </c>
      <c r="Q178" s="31"/>
      <c r="R178" s="31"/>
      <c r="S178" s="31"/>
      <c r="T178" s="31"/>
      <c r="U178" s="24">
        <f>30000</f>
        <v>30000</v>
      </c>
      <c r="V178" s="24"/>
      <c r="W178" s="24"/>
      <c r="X178" s="25" t="s">
        <v>74</v>
      </c>
      <c r="Y178" s="25"/>
      <c r="Z178" s="25"/>
      <c r="AA178" s="25"/>
      <c r="AB178" s="24">
        <f>30000</f>
        <v>30000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30000</f>
        <v>30000</v>
      </c>
      <c r="AX178" s="24"/>
      <c r="AY178" s="25" t="s">
        <v>74</v>
      </c>
      <c r="AZ178" s="25"/>
      <c r="BA178" s="24">
        <f>5000</f>
        <v>5000</v>
      </c>
      <c r="BB178" s="24"/>
      <c r="BC178" s="24"/>
      <c r="BD178" s="25" t="s">
        <v>74</v>
      </c>
      <c r="BE178" s="25"/>
      <c r="BF178" s="24">
        <f>5000</f>
        <v>5000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5000</f>
        <v>5000</v>
      </c>
      <c r="BR178" s="24"/>
      <c r="BS178" s="24"/>
      <c r="BT178" s="27" t="s">
        <v>74</v>
      </c>
    </row>
    <row r="179" spans="1:72" s="1" customFormat="1" ht="13.5" customHeight="1">
      <c r="A179" s="16" t="s">
        <v>234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211</v>
      </c>
      <c r="N179" s="23"/>
      <c r="O179" s="23"/>
      <c r="P179" s="31" t="s">
        <v>344</v>
      </c>
      <c r="Q179" s="31"/>
      <c r="R179" s="31"/>
      <c r="S179" s="31"/>
      <c r="T179" s="31"/>
      <c r="U179" s="24">
        <f>30000</f>
        <v>30000</v>
      </c>
      <c r="V179" s="24"/>
      <c r="W179" s="24"/>
      <c r="X179" s="25" t="s">
        <v>74</v>
      </c>
      <c r="Y179" s="25"/>
      <c r="Z179" s="25"/>
      <c r="AA179" s="25"/>
      <c r="AB179" s="24">
        <f>30000</f>
        <v>30000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30000</f>
        <v>30000</v>
      </c>
      <c r="AX179" s="24"/>
      <c r="AY179" s="25" t="s">
        <v>74</v>
      </c>
      <c r="AZ179" s="25"/>
      <c r="BA179" s="24">
        <f>5000</f>
        <v>5000</v>
      </c>
      <c r="BB179" s="24"/>
      <c r="BC179" s="24"/>
      <c r="BD179" s="25" t="s">
        <v>74</v>
      </c>
      <c r="BE179" s="25"/>
      <c r="BF179" s="24">
        <f>5000</f>
        <v>5000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5000</f>
        <v>5000</v>
      </c>
      <c r="BR179" s="24"/>
      <c r="BS179" s="24"/>
      <c r="BT179" s="27" t="s">
        <v>74</v>
      </c>
    </row>
    <row r="180" spans="1:72" s="1" customFormat="1" ht="13.5" customHeight="1">
      <c r="A180" s="16" t="s">
        <v>345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211</v>
      </c>
      <c r="N180" s="23"/>
      <c r="O180" s="23"/>
      <c r="P180" s="31" t="s">
        <v>346</v>
      </c>
      <c r="Q180" s="31"/>
      <c r="R180" s="31"/>
      <c r="S180" s="31"/>
      <c r="T180" s="31"/>
      <c r="U180" s="24">
        <f>125500</f>
        <v>125500</v>
      </c>
      <c r="V180" s="24"/>
      <c r="W180" s="24"/>
      <c r="X180" s="25" t="s">
        <v>74</v>
      </c>
      <c r="Y180" s="25"/>
      <c r="Z180" s="25"/>
      <c r="AA180" s="25"/>
      <c r="AB180" s="24">
        <f>125500</f>
        <v>125500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125500</f>
        <v>125500</v>
      </c>
      <c r="AX180" s="24"/>
      <c r="AY180" s="25" t="s">
        <v>74</v>
      </c>
      <c r="AZ180" s="25"/>
      <c r="BA180" s="24">
        <f>64204</f>
        <v>64204</v>
      </c>
      <c r="BB180" s="24"/>
      <c r="BC180" s="24"/>
      <c r="BD180" s="25" t="s">
        <v>74</v>
      </c>
      <c r="BE180" s="25"/>
      <c r="BF180" s="24">
        <f>64204</f>
        <v>64204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64204</f>
        <v>64204</v>
      </c>
      <c r="BR180" s="24"/>
      <c r="BS180" s="24"/>
      <c r="BT180" s="27" t="s">
        <v>74</v>
      </c>
    </row>
    <row r="181" spans="1:72" s="1" customFormat="1" ht="24" customHeight="1">
      <c r="A181" s="16" t="s">
        <v>230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211</v>
      </c>
      <c r="N181" s="23"/>
      <c r="O181" s="23"/>
      <c r="P181" s="31" t="s">
        <v>347</v>
      </c>
      <c r="Q181" s="31"/>
      <c r="R181" s="31"/>
      <c r="S181" s="31"/>
      <c r="T181" s="31"/>
      <c r="U181" s="24">
        <f>125500</f>
        <v>125500</v>
      </c>
      <c r="V181" s="24"/>
      <c r="W181" s="24"/>
      <c r="X181" s="25" t="s">
        <v>74</v>
      </c>
      <c r="Y181" s="25"/>
      <c r="Z181" s="25"/>
      <c r="AA181" s="25"/>
      <c r="AB181" s="24">
        <f>125500</f>
        <v>125500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125500</f>
        <v>125500</v>
      </c>
      <c r="AX181" s="24"/>
      <c r="AY181" s="25" t="s">
        <v>74</v>
      </c>
      <c r="AZ181" s="25"/>
      <c r="BA181" s="24">
        <f>64204</f>
        <v>64204</v>
      </c>
      <c r="BB181" s="24"/>
      <c r="BC181" s="24"/>
      <c r="BD181" s="25" t="s">
        <v>74</v>
      </c>
      <c r="BE181" s="25"/>
      <c r="BF181" s="24">
        <f>64204</f>
        <v>64204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64204</f>
        <v>64204</v>
      </c>
      <c r="BR181" s="24"/>
      <c r="BS181" s="24"/>
      <c r="BT181" s="27" t="s">
        <v>74</v>
      </c>
    </row>
    <row r="182" spans="1:72" s="1" customFormat="1" ht="24" customHeight="1">
      <c r="A182" s="16" t="s">
        <v>232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211</v>
      </c>
      <c r="N182" s="23"/>
      <c r="O182" s="23"/>
      <c r="P182" s="31" t="s">
        <v>348</v>
      </c>
      <c r="Q182" s="31"/>
      <c r="R182" s="31"/>
      <c r="S182" s="31"/>
      <c r="T182" s="31"/>
      <c r="U182" s="24">
        <f>125500</f>
        <v>125500</v>
      </c>
      <c r="V182" s="24"/>
      <c r="W182" s="24"/>
      <c r="X182" s="25" t="s">
        <v>74</v>
      </c>
      <c r="Y182" s="25"/>
      <c r="Z182" s="25"/>
      <c r="AA182" s="25"/>
      <c r="AB182" s="24">
        <f>125500</f>
        <v>125500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125500</f>
        <v>125500</v>
      </c>
      <c r="AX182" s="24"/>
      <c r="AY182" s="25" t="s">
        <v>74</v>
      </c>
      <c r="AZ182" s="25"/>
      <c r="BA182" s="24">
        <f>64204</f>
        <v>64204</v>
      </c>
      <c r="BB182" s="24"/>
      <c r="BC182" s="24"/>
      <c r="BD182" s="25" t="s">
        <v>74</v>
      </c>
      <c r="BE182" s="25"/>
      <c r="BF182" s="24">
        <f>64204</f>
        <v>64204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64204</f>
        <v>64204</v>
      </c>
      <c r="BR182" s="24"/>
      <c r="BS182" s="24"/>
      <c r="BT182" s="27" t="s">
        <v>74</v>
      </c>
    </row>
    <row r="183" spans="1:72" s="1" customFormat="1" ht="13.5" customHeight="1">
      <c r="A183" s="16" t="s">
        <v>234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211</v>
      </c>
      <c r="N183" s="23"/>
      <c r="O183" s="23"/>
      <c r="P183" s="31" t="s">
        <v>349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74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125500</f>
        <v>125500</v>
      </c>
      <c r="AX183" s="24"/>
      <c r="AY183" s="25" t="s">
        <v>74</v>
      </c>
      <c r="AZ183" s="25"/>
      <c r="BA183" s="24">
        <f>64204</f>
        <v>64204</v>
      </c>
      <c r="BB183" s="24"/>
      <c r="BC183" s="24"/>
      <c r="BD183" s="25" t="s">
        <v>74</v>
      </c>
      <c r="BE183" s="25"/>
      <c r="BF183" s="24">
        <f>64204</f>
        <v>64204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64204</f>
        <v>64204</v>
      </c>
      <c r="BR183" s="24"/>
      <c r="BS183" s="24"/>
      <c r="BT183" s="27" t="s">
        <v>74</v>
      </c>
    </row>
    <row r="184" spans="1:72" s="1" customFormat="1" ht="13.5" customHeight="1">
      <c r="A184" s="16" t="s">
        <v>350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211</v>
      </c>
      <c r="N184" s="23"/>
      <c r="O184" s="23"/>
      <c r="P184" s="31" t="s">
        <v>351</v>
      </c>
      <c r="Q184" s="31"/>
      <c r="R184" s="31"/>
      <c r="S184" s="31"/>
      <c r="T184" s="31"/>
      <c r="U184" s="24">
        <f>100000</f>
        <v>100000</v>
      </c>
      <c r="V184" s="24"/>
      <c r="W184" s="24"/>
      <c r="X184" s="25" t="s">
        <v>74</v>
      </c>
      <c r="Y184" s="25"/>
      <c r="Z184" s="25"/>
      <c r="AA184" s="25"/>
      <c r="AB184" s="24">
        <f>100000</f>
        <v>100000</v>
      </c>
      <c r="AC184" s="24"/>
      <c r="AD184" s="24"/>
      <c r="AE184" s="28">
        <f>49402</f>
        <v>49402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149402</f>
        <v>149402</v>
      </c>
      <c r="AX184" s="24"/>
      <c r="AY184" s="25" t="s">
        <v>74</v>
      </c>
      <c r="AZ184" s="25"/>
      <c r="BA184" s="24">
        <f>0</f>
        <v>0</v>
      </c>
      <c r="BB184" s="24"/>
      <c r="BC184" s="24"/>
      <c r="BD184" s="25" t="s">
        <v>74</v>
      </c>
      <c r="BE184" s="25"/>
      <c r="BF184" s="24">
        <f>0</f>
        <v>0</v>
      </c>
      <c r="BG184" s="24"/>
      <c r="BH184" s="28">
        <f>49402</f>
        <v>49402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49402</f>
        <v>49402</v>
      </c>
      <c r="BR184" s="24"/>
      <c r="BS184" s="24"/>
      <c r="BT184" s="27" t="s">
        <v>74</v>
      </c>
    </row>
    <row r="185" spans="1:72" s="1" customFormat="1" ht="13.5" customHeight="1">
      <c r="A185" s="16" t="s">
        <v>352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211</v>
      </c>
      <c r="N185" s="23"/>
      <c r="O185" s="23"/>
      <c r="P185" s="31" t="s">
        <v>353</v>
      </c>
      <c r="Q185" s="31"/>
      <c r="R185" s="31"/>
      <c r="S185" s="31"/>
      <c r="T185" s="31"/>
      <c r="U185" s="24">
        <f>100000</f>
        <v>100000</v>
      </c>
      <c r="V185" s="24"/>
      <c r="W185" s="24"/>
      <c r="X185" s="25" t="s">
        <v>74</v>
      </c>
      <c r="Y185" s="25"/>
      <c r="Z185" s="25"/>
      <c r="AA185" s="25"/>
      <c r="AB185" s="24">
        <f>100000</f>
        <v>100000</v>
      </c>
      <c r="AC185" s="24"/>
      <c r="AD185" s="24"/>
      <c r="AE185" s="28">
        <f>49402</f>
        <v>49402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149402</f>
        <v>149402</v>
      </c>
      <c r="AX185" s="24"/>
      <c r="AY185" s="25" t="s">
        <v>74</v>
      </c>
      <c r="AZ185" s="25"/>
      <c r="BA185" s="24">
        <f>0</f>
        <v>0</v>
      </c>
      <c r="BB185" s="24"/>
      <c r="BC185" s="24"/>
      <c r="BD185" s="25" t="s">
        <v>74</v>
      </c>
      <c r="BE185" s="25"/>
      <c r="BF185" s="24">
        <f>0</f>
        <v>0</v>
      </c>
      <c r="BG185" s="24"/>
      <c r="BH185" s="28">
        <f>49402</f>
        <v>49402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49402</f>
        <v>49402</v>
      </c>
      <c r="BR185" s="24"/>
      <c r="BS185" s="24"/>
      <c r="BT185" s="27" t="s">
        <v>74</v>
      </c>
    </row>
    <row r="186" spans="1:72" s="1" customFormat="1" ht="24" customHeight="1">
      <c r="A186" s="16" t="s">
        <v>230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211</v>
      </c>
      <c r="N186" s="23"/>
      <c r="O186" s="23"/>
      <c r="P186" s="31" t="s">
        <v>354</v>
      </c>
      <c r="Q186" s="31"/>
      <c r="R186" s="31"/>
      <c r="S186" s="31"/>
      <c r="T186" s="31"/>
      <c r="U186" s="24">
        <f>100000</f>
        <v>100000</v>
      </c>
      <c r="V186" s="24"/>
      <c r="W186" s="24"/>
      <c r="X186" s="25" t="s">
        <v>74</v>
      </c>
      <c r="Y186" s="25"/>
      <c r="Z186" s="25"/>
      <c r="AA186" s="25"/>
      <c r="AB186" s="24">
        <f>100000</f>
        <v>100000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100000</f>
        <v>100000</v>
      </c>
      <c r="AX186" s="24"/>
      <c r="AY186" s="25" t="s">
        <v>74</v>
      </c>
      <c r="AZ186" s="25"/>
      <c r="BA186" s="25" t="s">
        <v>74</v>
      </c>
      <c r="BB186" s="25"/>
      <c r="BC186" s="25"/>
      <c r="BD186" s="25" t="s">
        <v>74</v>
      </c>
      <c r="BE186" s="25"/>
      <c r="BF186" s="25" t="s">
        <v>74</v>
      </c>
      <c r="BG186" s="25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5" t="s">
        <v>74</v>
      </c>
      <c r="BR186" s="25"/>
      <c r="BS186" s="25"/>
      <c r="BT186" s="27" t="s">
        <v>74</v>
      </c>
    </row>
    <row r="187" spans="1:72" s="1" customFormat="1" ht="24" customHeight="1">
      <c r="A187" s="16" t="s">
        <v>232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211</v>
      </c>
      <c r="N187" s="23"/>
      <c r="O187" s="23"/>
      <c r="P187" s="31" t="s">
        <v>355</v>
      </c>
      <c r="Q187" s="31"/>
      <c r="R187" s="31"/>
      <c r="S187" s="31"/>
      <c r="T187" s="31"/>
      <c r="U187" s="24">
        <f>100000</f>
        <v>100000</v>
      </c>
      <c r="V187" s="24"/>
      <c r="W187" s="24"/>
      <c r="X187" s="25" t="s">
        <v>74</v>
      </c>
      <c r="Y187" s="25"/>
      <c r="Z187" s="25"/>
      <c r="AA187" s="25"/>
      <c r="AB187" s="24">
        <f>100000</f>
        <v>100000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100000</f>
        <v>100000</v>
      </c>
      <c r="AX187" s="24"/>
      <c r="AY187" s="25" t="s">
        <v>74</v>
      </c>
      <c r="AZ187" s="25"/>
      <c r="BA187" s="25" t="s">
        <v>74</v>
      </c>
      <c r="BB187" s="25"/>
      <c r="BC187" s="25"/>
      <c r="BD187" s="25" t="s">
        <v>74</v>
      </c>
      <c r="BE187" s="25"/>
      <c r="BF187" s="25" t="s">
        <v>74</v>
      </c>
      <c r="BG187" s="25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5" t="s">
        <v>74</v>
      </c>
      <c r="BR187" s="25"/>
      <c r="BS187" s="25"/>
      <c r="BT187" s="27" t="s">
        <v>74</v>
      </c>
    </row>
    <row r="188" spans="1:72" s="1" customFormat="1" ht="13.5" customHeight="1">
      <c r="A188" s="16" t="s">
        <v>234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211</v>
      </c>
      <c r="N188" s="23"/>
      <c r="O188" s="23"/>
      <c r="P188" s="31" t="s">
        <v>356</v>
      </c>
      <c r="Q188" s="31"/>
      <c r="R188" s="31"/>
      <c r="S188" s="31"/>
      <c r="T188" s="31"/>
      <c r="U188" s="24">
        <f>100000</f>
        <v>100000</v>
      </c>
      <c r="V188" s="24"/>
      <c r="W188" s="24"/>
      <c r="X188" s="25" t="s">
        <v>74</v>
      </c>
      <c r="Y188" s="25"/>
      <c r="Z188" s="25"/>
      <c r="AA188" s="25"/>
      <c r="AB188" s="24">
        <f>100000</f>
        <v>100000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100000</f>
        <v>100000</v>
      </c>
      <c r="AX188" s="24"/>
      <c r="AY188" s="25" t="s">
        <v>74</v>
      </c>
      <c r="AZ188" s="25"/>
      <c r="BA188" s="25" t="s">
        <v>74</v>
      </c>
      <c r="BB188" s="25"/>
      <c r="BC188" s="25"/>
      <c r="BD188" s="25" t="s">
        <v>74</v>
      </c>
      <c r="BE188" s="25"/>
      <c r="BF188" s="25" t="s">
        <v>74</v>
      </c>
      <c r="BG188" s="25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5" t="s">
        <v>74</v>
      </c>
      <c r="BR188" s="25"/>
      <c r="BS188" s="25"/>
      <c r="BT188" s="27" t="s">
        <v>74</v>
      </c>
    </row>
    <row r="189" spans="1:72" s="1" customFormat="1" ht="13.5" customHeight="1">
      <c r="A189" s="16" t="s">
        <v>248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211</v>
      </c>
      <c r="N189" s="23"/>
      <c r="O189" s="23"/>
      <c r="P189" s="31" t="s">
        <v>357</v>
      </c>
      <c r="Q189" s="31"/>
      <c r="R189" s="31"/>
      <c r="S189" s="31"/>
      <c r="T189" s="31"/>
      <c r="U189" s="24">
        <f>0</f>
        <v>0</v>
      </c>
      <c r="V189" s="24"/>
      <c r="W189" s="24"/>
      <c r="X189" s="25" t="s">
        <v>74</v>
      </c>
      <c r="Y189" s="25"/>
      <c r="Z189" s="25"/>
      <c r="AA189" s="25"/>
      <c r="AB189" s="24">
        <f>0</f>
        <v>0</v>
      </c>
      <c r="AC189" s="24"/>
      <c r="AD189" s="24"/>
      <c r="AE189" s="28">
        <f>49402</f>
        <v>49402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49402</f>
        <v>49402</v>
      </c>
      <c r="AX189" s="24"/>
      <c r="AY189" s="25" t="s">
        <v>74</v>
      </c>
      <c r="AZ189" s="25"/>
      <c r="BA189" s="24">
        <f>0</f>
        <v>0</v>
      </c>
      <c r="BB189" s="24"/>
      <c r="BC189" s="24"/>
      <c r="BD189" s="25" t="s">
        <v>74</v>
      </c>
      <c r="BE189" s="25"/>
      <c r="BF189" s="24">
        <f>0</f>
        <v>0</v>
      </c>
      <c r="BG189" s="24"/>
      <c r="BH189" s="28">
        <f>49402</f>
        <v>49402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49402</f>
        <v>49402</v>
      </c>
      <c r="BR189" s="24"/>
      <c r="BS189" s="24"/>
      <c r="BT189" s="27" t="s">
        <v>74</v>
      </c>
    </row>
    <row r="190" spans="1:72" s="1" customFormat="1" ht="13.5" customHeight="1">
      <c r="A190" s="16" t="s">
        <v>198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211</v>
      </c>
      <c r="N190" s="23"/>
      <c r="O190" s="23"/>
      <c r="P190" s="31" t="s">
        <v>358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74</v>
      </c>
      <c r="Y190" s="25"/>
      <c r="Z190" s="25"/>
      <c r="AA190" s="25"/>
      <c r="AB190" s="24">
        <f>0</f>
        <v>0</v>
      </c>
      <c r="AC190" s="24"/>
      <c r="AD190" s="24"/>
      <c r="AE190" s="28">
        <f>49402</f>
        <v>49402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49402</f>
        <v>49402</v>
      </c>
      <c r="AX190" s="24"/>
      <c r="AY190" s="25" t="s">
        <v>74</v>
      </c>
      <c r="AZ190" s="25"/>
      <c r="BA190" s="24">
        <f>0</f>
        <v>0</v>
      </c>
      <c r="BB190" s="24"/>
      <c r="BC190" s="24"/>
      <c r="BD190" s="25" t="s">
        <v>74</v>
      </c>
      <c r="BE190" s="25"/>
      <c r="BF190" s="24">
        <f>0</f>
        <v>0</v>
      </c>
      <c r="BG190" s="24"/>
      <c r="BH190" s="28">
        <f>49402</f>
        <v>49402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49402</f>
        <v>49402</v>
      </c>
      <c r="BR190" s="24"/>
      <c r="BS190" s="24"/>
      <c r="BT190" s="27" t="s">
        <v>74</v>
      </c>
    </row>
    <row r="191" spans="1:72" s="1" customFormat="1" ht="13.5" customHeight="1">
      <c r="A191" s="16" t="s">
        <v>359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211</v>
      </c>
      <c r="N191" s="23"/>
      <c r="O191" s="23"/>
      <c r="P191" s="31" t="s">
        <v>360</v>
      </c>
      <c r="Q191" s="31"/>
      <c r="R191" s="31"/>
      <c r="S191" s="31"/>
      <c r="T191" s="31"/>
      <c r="U191" s="24">
        <f>1530731</f>
        <v>1530731</v>
      </c>
      <c r="V191" s="24"/>
      <c r="W191" s="24"/>
      <c r="X191" s="25" t="s">
        <v>74</v>
      </c>
      <c r="Y191" s="25"/>
      <c r="Z191" s="25"/>
      <c r="AA191" s="25"/>
      <c r="AB191" s="24">
        <f>1530731</f>
        <v>1530731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1530731</f>
        <v>1530731</v>
      </c>
      <c r="AX191" s="24"/>
      <c r="AY191" s="25" t="s">
        <v>74</v>
      </c>
      <c r="AZ191" s="25"/>
      <c r="BA191" s="24">
        <f>1390799.19</f>
        <v>1390799.19</v>
      </c>
      <c r="BB191" s="24"/>
      <c r="BC191" s="24"/>
      <c r="BD191" s="25" t="s">
        <v>74</v>
      </c>
      <c r="BE191" s="25"/>
      <c r="BF191" s="24">
        <f>1390799.19</f>
        <v>1390799.19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1390799.19</f>
        <v>1390799.19</v>
      </c>
      <c r="BR191" s="24"/>
      <c r="BS191" s="24"/>
      <c r="BT191" s="27" t="s">
        <v>74</v>
      </c>
    </row>
    <row r="192" spans="1:72" s="1" customFormat="1" ht="13.5" customHeight="1">
      <c r="A192" s="16" t="s">
        <v>361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211</v>
      </c>
      <c r="N192" s="23"/>
      <c r="O192" s="23"/>
      <c r="P192" s="31" t="s">
        <v>362</v>
      </c>
      <c r="Q192" s="31"/>
      <c r="R192" s="31"/>
      <c r="S192" s="31"/>
      <c r="T192" s="31"/>
      <c r="U192" s="24">
        <f>291631</f>
        <v>291631</v>
      </c>
      <c r="V192" s="24"/>
      <c r="W192" s="24"/>
      <c r="X192" s="25" t="s">
        <v>74</v>
      </c>
      <c r="Y192" s="25"/>
      <c r="Z192" s="25"/>
      <c r="AA192" s="25"/>
      <c r="AB192" s="24">
        <f>291631</f>
        <v>291631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291631</f>
        <v>291631</v>
      </c>
      <c r="AX192" s="24"/>
      <c r="AY192" s="25" t="s">
        <v>74</v>
      </c>
      <c r="AZ192" s="25"/>
      <c r="BA192" s="24">
        <f>152149.23</f>
        <v>152149.23</v>
      </c>
      <c r="BB192" s="24"/>
      <c r="BC192" s="24"/>
      <c r="BD192" s="25" t="s">
        <v>74</v>
      </c>
      <c r="BE192" s="25"/>
      <c r="BF192" s="24">
        <f>152149.23</f>
        <v>152149.23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152149.23</f>
        <v>152149.23</v>
      </c>
      <c r="BR192" s="24"/>
      <c r="BS192" s="24"/>
      <c r="BT192" s="27" t="s">
        <v>74</v>
      </c>
    </row>
    <row r="193" spans="1:72" s="1" customFormat="1" ht="13.5" customHeight="1">
      <c r="A193" s="16" t="s">
        <v>363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211</v>
      </c>
      <c r="N193" s="23"/>
      <c r="O193" s="23"/>
      <c r="P193" s="31" t="s">
        <v>364</v>
      </c>
      <c r="Q193" s="31"/>
      <c r="R193" s="31"/>
      <c r="S193" s="31"/>
      <c r="T193" s="31"/>
      <c r="U193" s="24">
        <f>291631</f>
        <v>291631</v>
      </c>
      <c r="V193" s="24"/>
      <c r="W193" s="24"/>
      <c r="X193" s="25" t="s">
        <v>74</v>
      </c>
      <c r="Y193" s="25"/>
      <c r="Z193" s="25"/>
      <c r="AA193" s="25"/>
      <c r="AB193" s="24">
        <f>291631</f>
        <v>291631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291631</f>
        <v>291631</v>
      </c>
      <c r="AX193" s="24"/>
      <c r="AY193" s="25" t="s">
        <v>74</v>
      </c>
      <c r="AZ193" s="25"/>
      <c r="BA193" s="24">
        <f>152149.23</f>
        <v>152149.23</v>
      </c>
      <c r="BB193" s="24"/>
      <c r="BC193" s="24"/>
      <c r="BD193" s="25" t="s">
        <v>74</v>
      </c>
      <c r="BE193" s="25"/>
      <c r="BF193" s="24">
        <f>152149.23</f>
        <v>152149.23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152149.23</f>
        <v>152149.23</v>
      </c>
      <c r="BR193" s="24"/>
      <c r="BS193" s="24"/>
      <c r="BT193" s="27" t="s">
        <v>74</v>
      </c>
    </row>
    <row r="194" spans="1:72" s="1" customFormat="1" ht="24" customHeight="1">
      <c r="A194" s="16" t="s">
        <v>365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211</v>
      </c>
      <c r="N194" s="23"/>
      <c r="O194" s="23"/>
      <c r="P194" s="31" t="s">
        <v>366</v>
      </c>
      <c r="Q194" s="31"/>
      <c r="R194" s="31"/>
      <c r="S194" s="31"/>
      <c r="T194" s="31"/>
      <c r="U194" s="24">
        <f>291631</f>
        <v>291631</v>
      </c>
      <c r="V194" s="24"/>
      <c r="W194" s="24"/>
      <c r="X194" s="25" t="s">
        <v>74</v>
      </c>
      <c r="Y194" s="25"/>
      <c r="Z194" s="25"/>
      <c r="AA194" s="25"/>
      <c r="AB194" s="24">
        <f>291631</f>
        <v>291631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291631</f>
        <v>291631</v>
      </c>
      <c r="AX194" s="24"/>
      <c r="AY194" s="25" t="s">
        <v>74</v>
      </c>
      <c r="AZ194" s="25"/>
      <c r="BA194" s="24">
        <f>152149.23</f>
        <v>152149.23</v>
      </c>
      <c r="BB194" s="24"/>
      <c r="BC194" s="24"/>
      <c r="BD194" s="25" t="s">
        <v>74</v>
      </c>
      <c r="BE194" s="25"/>
      <c r="BF194" s="24">
        <f>152149.23</f>
        <v>152149.23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152149.23</f>
        <v>152149.23</v>
      </c>
      <c r="BR194" s="24"/>
      <c r="BS194" s="24"/>
      <c r="BT194" s="27" t="s">
        <v>74</v>
      </c>
    </row>
    <row r="195" spans="1:72" s="1" customFormat="1" ht="13.5" customHeight="1">
      <c r="A195" s="16" t="s">
        <v>367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211</v>
      </c>
      <c r="N195" s="23"/>
      <c r="O195" s="23"/>
      <c r="P195" s="31" t="s">
        <v>368</v>
      </c>
      <c r="Q195" s="31"/>
      <c r="R195" s="31"/>
      <c r="S195" s="31"/>
      <c r="T195" s="31"/>
      <c r="U195" s="24">
        <f>291631</f>
        <v>291631</v>
      </c>
      <c r="V195" s="24"/>
      <c r="W195" s="24"/>
      <c r="X195" s="25" t="s">
        <v>74</v>
      </c>
      <c r="Y195" s="25"/>
      <c r="Z195" s="25"/>
      <c r="AA195" s="25"/>
      <c r="AB195" s="24">
        <f>291631</f>
        <v>291631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291631</f>
        <v>291631</v>
      </c>
      <c r="AX195" s="24"/>
      <c r="AY195" s="25" t="s">
        <v>74</v>
      </c>
      <c r="AZ195" s="25"/>
      <c r="BA195" s="24">
        <f>152149.23</f>
        <v>152149.23</v>
      </c>
      <c r="BB195" s="24"/>
      <c r="BC195" s="24"/>
      <c r="BD195" s="25" t="s">
        <v>74</v>
      </c>
      <c r="BE195" s="25"/>
      <c r="BF195" s="24">
        <f>152149.23</f>
        <v>152149.23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152149.23</f>
        <v>152149.23</v>
      </c>
      <c r="BR195" s="24"/>
      <c r="BS195" s="24"/>
      <c r="BT195" s="27" t="s">
        <v>74</v>
      </c>
    </row>
    <row r="196" spans="1:72" s="1" customFormat="1" ht="13.5" customHeight="1">
      <c r="A196" s="16" t="s">
        <v>369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211</v>
      </c>
      <c r="N196" s="23"/>
      <c r="O196" s="23"/>
      <c r="P196" s="31" t="s">
        <v>370</v>
      </c>
      <c r="Q196" s="31"/>
      <c r="R196" s="31"/>
      <c r="S196" s="31"/>
      <c r="T196" s="31"/>
      <c r="U196" s="24">
        <f>1223100</f>
        <v>1223100</v>
      </c>
      <c r="V196" s="24"/>
      <c r="W196" s="24"/>
      <c r="X196" s="25" t="s">
        <v>74</v>
      </c>
      <c r="Y196" s="25"/>
      <c r="Z196" s="25"/>
      <c r="AA196" s="25"/>
      <c r="AB196" s="24">
        <f>1223100</f>
        <v>1223100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1223100</f>
        <v>1223100</v>
      </c>
      <c r="AX196" s="24"/>
      <c r="AY196" s="25" t="s">
        <v>74</v>
      </c>
      <c r="AZ196" s="25"/>
      <c r="BA196" s="24">
        <f>1222649.96</f>
        <v>1222649.96</v>
      </c>
      <c r="BB196" s="24"/>
      <c r="BC196" s="24"/>
      <c r="BD196" s="25" t="s">
        <v>74</v>
      </c>
      <c r="BE196" s="25"/>
      <c r="BF196" s="24">
        <f>1222649.96</f>
        <v>1222649.96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1222649.96</f>
        <v>1222649.96</v>
      </c>
      <c r="BR196" s="24"/>
      <c r="BS196" s="24"/>
      <c r="BT196" s="27" t="s">
        <v>74</v>
      </c>
    </row>
    <row r="197" spans="1:72" s="1" customFormat="1" ht="13.5" customHeight="1">
      <c r="A197" s="16" t="s">
        <v>363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211</v>
      </c>
      <c r="N197" s="23"/>
      <c r="O197" s="23"/>
      <c r="P197" s="31" t="s">
        <v>371</v>
      </c>
      <c r="Q197" s="31"/>
      <c r="R197" s="31"/>
      <c r="S197" s="31"/>
      <c r="T197" s="31"/>
      <c r="U197" s="24">
        <f>1223100</f>
        <v>1223100</v>
      </c>
      <c r="V197" s="24"/>
      <c r="W197" s="24"/>
      <c r="X197" s="25" t="s">
        <v>74</v>
      </c>
      <c r="Y197" s="25"/>
      <c r="Z197" s="25"/>
      <c r="AA197" s="25"/>
      <c r="AB197" s="24">
        <f>1223100</f>
        <v>1223100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1223100</f>
        <v>1223100</v>
      </c>
      <c r="AX197" s="24"/>
      <c r="AY197" s="25" t="s">
        <v>74</v>
      </c>
      <c r="AZ197" s="25"/>
      <c r="BA197" s="24">
        <f>1222649.96</f>
        <v>1222649.96</v>
      </c>
      <c r="BB197" s="24"/>
      <c r="BC197" s="24"/>
      <c r="BD197" s="25" t="s">
        <v>74</v>
      </c>
      <c r="BE197" s="25"/>
      <c r="BF197" s="24">
        <f>1222649.96</f>
        <v>1222649.96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1222649.96</f>
        <v>1222649.96</v>
      </c>
      <c r="BR197" s="24"/>
      <c r="BS197" s="24"/>
      <c r="BT197" s="27" t="s">
        <v>74</v>
      </c>
    </row>
    <row r="198" spans="1:72" s="1" customFormat="1" ht="24" customHeight="1">
      <c r="A198" s="16" t="s">
        <v>372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211</v>
      </c>
      <c r="N198" s="23"/>
      <c r="O198" s="23"/>
      <c r="P198" s="31" t="s">
        <v>373</v>
      </c>
      <c r="Q198" s="31"/>
      <c r="R198" s="31"/>
      <c r="S198" s="31"/>
      <c r="T198" s="31"/>
      <c r="U198" s="24">
        <f>1223100</f>
        <v>1223100</v>
      </c>
      <c r="V198" s="24"/>
      <c r="W198" s="24"/>
      <c r="X198" s="25" t="s">
        <v>74</v>
      </c>
      <c r="Y198" s="25"/>
      <c r="Z198" s="25"/>
      <c r="AA198" s="25"/>
      <c r="AB198" s="24">
        <f>1223100</f>
        <v>1223100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1223100</f>
        <v>1223100</v>
      </c>
      <c r="AX198" s="24"/>
      <c r="AY198" s="25" t="s">
        <v>74</v>
      </c>
      <c r="AZ198" s="25"/>
      <c r="BA198" s="24">
        <f>1222649.96</f>
        <v>1222649.96</v>
      </c>
      <c r="BB198" s="24"/>
      <c r="BC198" s="24"/>
      <c r="BD198" s="25" t="s">
        <v>74</v>
      </c>
      <c r="BE198" s="25"/>
      <c r="BF198" s="24">
        <f>1222649.96</f>
        <v>1222649.96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1222649.96</f>
        <v>1222649.96</v>
      </c>
      <c r="BR198" s="24"/>
      <c r="BS198" s="24"/>
      <c r="BT198" s="27" t="s">
        <v>74</v>
      </c>
    </row>
    <row r="199" spans="1:72" s="1" customFormat="1" ht="13.5" customHeight="1">
      <c r="A199" s="16" t="s">
        <v>374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211</v>
      </c>
      <c r="N199" s="23"/>
      <c r="O199" s="23"/>
      <c r="P199" s="31" t="s">
        <v>375</v>
      </c>
      <c r="Q199" s="31"/>
      <c r="R199" s="31"/>
      <c r="S199" s="31"/>
      <c r="T199" s="31"/>
      <c r="U199" s="24">
        <f>1223100</f>
        <v>1223100</v>
      </c>
      <c r="V199" s="24"/>
      <c r="W199" s="24"/>
      <c r="X199" s="25" t="s">
        <v>74</v>
      </c>
      <c r="Y199" s="25"/>
      <c r="Z199" s="25"/>
      <c r="AA199" s="25"/>
      <c r="AB199" s="24">
        <f>1223100</f>
        <v>1223100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1223100</f>
        <v>1223100</v>
      </c>
      <c r="AX199" s="24"/>
      <c r="AY199" s="25" t="s">
        <v>74</v>
      </c>
      <c r="AZ199" s="25"/>
      <c r="BA199" s="24">
        <f>1222649.96</f>
        <v>1222649.96</v>
      </c>
      <c r="BB199" s="24"/>
      <c r="BC199" s="24"/>
      <c r="BD199" s="25" t="s">
        <v>74</v>
      </c>
      <c r="BE199" s="25"/>
      <c r="BF199" s="24">
        <f>1222649.96</f>
        <v>1222649.96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1222649.96</f>
        <v>1222649.96</v>
      </c>
      <c r="BR199" s="24"/>
      <c r="BS199" s="24"/>
      <c r="BT199" s="27" t="s">
        <v>74</v>
      </c>
    </row>
    <row r="200" spans="1:72" s="1" customFormat="1" ht="13.5" customHeight="1">
      <c r="A200" s="16" t="s">
        <v>376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211</v>
      </c>
      <c r="N200" s="23"/>
      <c r="O200" s="23"/>
      <c r="P200" s="31" t="s">
        <v>377</v>
      </c>
      <c r="Q200" s="31"/>
      <c r="R200" s="31"/>
      <c r="S200" s="31"/>
      <c r="T200" s="31"/>
      <c r="U200" s="24">
        <f>16000</f>
        <v>16000</v>
      </c>
      <c r="V200" s="24"/>
      <c r="W200" s="24"/>
      <c r="X200" s="25" t="s">
        <v>74</v>
      </c>
      <c r="Y200" s="25"/>
      <c r="Z200" s="25"/>
      <c r="AA200" s="25"/>
      <c r="AB200" s="24">
        <f>16000</f>
        <v>16000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16000</f>
        <v>16000</v>
      </c>
      <c r="AX200" s="24"/>
      <c r="AY200" s="25" t="s">
        <v>74</v>
      </c>
      <c r="AZ200" s="25"/>
      <c r="BA200" s="24">
        <f>16000</f>
        <v>16000</v>
      </c>
      <c r="BB200" s="24"/>
      <c r="BC200" s="24"/>
      <c r="BD200" s="25" t="s">
        <v>74</v>
      </c>
      <c r="BE200" s="25"/>
      <c r="BF200" s="24">
        <f>16000</f>
        <v>16000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16000</f>
        <v>16000</v>
      </c>
      <c r="BR200" s="24"/>
      <c r="BS200" s="24"/>
      <c r="BT200" s="27" t="s">
        <v>74</v>
      </c>
    </row>
    <row r="201" spans="1:72" s="1" customFormat="1" ht="13.5" customHeight="1">
      <c r="A201" s="16" t="s">
        <v>363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211</v>
      </c>
      <c r="N201" s="23"/>
      <c r="O201" s="23"/>
      <c r="P201" s="31" t="s">
        <v>378</v>
      </c>
      <c r="Q201" s="31"/>
      <c r="R201" s="31"/>
      <c r="S201" s="31"/>
      <c r="T201" s="31"/>
      <c r="U201" s="24">
        <f>16000</f>
        <v>16000</v>
      </c>
      <c r="V201" s="24"/>
      <c r="W201" s="24"/>
      <c r="X201" s="25" t="s">
        <v>74</v>
      </c>
      <c r="Y201" s="25"/>
      <c r="Z201" s="25"/>
      <c r="AA201" s="25"/>
      <c r="AB201" s="24">
        <f>16000</f>
        <v>16000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16000</f>
        <v>16000</v>
      </c>
      <c r="AX201" s="24"/>
      <c r="AY201" s="25" t="s">
        <v>74</v>
      </c>
      <c r="AZ201" s="25"/>
      <c r="BA201" s="24">
        <f>16000</f>
        <v>16000</v>
      </c>
      <c r="BB201" s="24"/>
      <c r="BC201" s="24"/>
      <c r="BD201" s="25" t="s">
        <v>74</v>
      </c>
      <c r="BE201" s="25"/>
      <c r="BF201" s="24">
        <f>16000</f>
        <v>16000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16000</f>
        <v>16000</v>
      </c>
      <c r="BR201" s="24"/>
      <c r="BS201" s="24"/>
      <c r="BT201" s="27" t="s">
        <v>74</v>
      </c>
    </row>
    <row r="202" spans="1:72" s="1" customFormat="1" ht="24" customHeight="1">
      <c r="A202" s="16" t="s">
        <v>372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211</v>
      </c>
      <c r="N202" s="23"/>
      <c r="O202" s="23"/>
      <c r="P202" s="31" t="s">
        <v>379</v>
      </c>
      <c r="Q202" s="31"/>
      <c r="R202" s="31"/>
      <c r="S202" s="31"/>
      <c r="T202" s="31"/>
      <c r="U202" s="24">
        <f>5000</f>
        <v>5000</v>
      </c>
      <c r="V202" s="24"/>
      <c r="W202" s="24"/>
      <c r="X202" s="25" t="s">
        <v>74</v>
      </c>
      <c r="Y202" s="25"/>
      <c r="Z202" s="25"/>
      <c r="AA202" s="25"/>
      <c r="AB202" s="24">
        <f>5000</f>
        <v>5000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5000</f>
        <v>5000</v>
      </c>
      <c r="AX202" s="24"/>
      <c r="AY202" s="25" t="s">
        <v>74</v>
      </c>
      <c r="AZ202" s="25"/>
      <c r="BA202" s="24">
        <f>5000</f>
        <v>5000</v>
      </c>
      <c r="BB202" s="24"/>
      <c r="BC202" s="24"/>
      <c r="BD202" s="25" t="s">
        <v>74</v>
      </c>
      <c r="BE202" s="25"/>
      <c r="BF202" s="24">
        <f>5000</f>
        <v>5000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5000</f>
        <v>5000</v>
      </c>
      <c r="BR202" s="24"/>
      <c r="BS202" s="24"/>
      <c r="BT202" s="27" t="s">
        <v>74</v>
      </c>
    </row>
    <row r="203" spans="1:72" s="1" customFormat="1" ht="33.75" customHeight="1">
      <c r="A203" s="16" t="s">
        <v>380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211</v>
      </c>
      <c r="N203" s="23"/>
      <c r="O203" s="23"/>
      <c r="P203" s="31" t="s">
        <v>381</v>
      </c>
      <c r="Q203" s="31"/>
      <c r="R203" s="31"/>
      <c r="S203" s="31"/>
      <c r="T203" s="31"/>
      <c r="U203" s="24">
        <f>5000</f>
        <v>5000</v>
      </c>
      <c r="V203" s="24"/>
      <c r="W203" s="24"/>
      <c r="X203" s="25" t="s">
        <v>74</v>
      </c>
      <c r="Y203" s="25"/>
      <c r="Z203" s="25"/>
      <c r="AA203" s="25"/>
      <c r="AB203" s="24">
        <f>5000</f>
        <v>5000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5000</f>
        <v>5000</v>
      </c>
      <c r="AX203" s="24"/>
      <c r="AY203" s="25" t="s">
        <v>74</v>
      </c>
      <c r="AZ203" s="25"/>
      <c r="BA203" s="24">
        <f>5000</f>
        <v>5000</v>
      </c>
      <c r="BB203" s="24"/>
      <c r="BC203" s="24"/>
      <c r="BD203" s="25" t="s">
        <v>74</v>
      </c>
      <c r="BE203" s="25"/>
      <c r="BF203" s="24">
        <f>5000</f>
        <v>5000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5000</f>
        <v>5000</v>
      </c>
      <c r="BR203" s="24"/>
      <c r="BS203" s="24"/>
      <c r="BT203" s="27" t="s">
        <v>74</v>
      </c>
    </row>
    <row r="204" spans="1:72" s="1" customFormat="1" ht="13.5" customHeight="1">
      <c r="A204" s="16" t="s">
        <v>382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211</v>
      </c>
      <c r="N204" s="23"/>
      <c r="O204" s="23"/>
      <c r="P204" s="31" t="s">
        <v>383</v>
      </c>
      <c r="Q204" s="31"/>
      <c r="R204" s="31"/>
      <c r="S204" s="31"/>
      <c r="T204" s="31"/>
      <c r="U204" s="24">
        <f>11000</f>
        <v>11000</v>
      </c>
      <c r="V204" s="24"/>
      <c r="W204" s="24"/>
      <c r="X204" s="25" t="s">
        <v>74</v>
      </c>
      <c r="Y204" s="25"/>
      <c r="Z204" s="25"/>
      <c r="AA204" s="25"/>
      <c r="AB204" s="24">
        <f>11000</f>
        <v>11000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11000</f>
        <v>11000</v>
      </c>
      <c r="AX204" s="24"/>
      <c r="AY204" s="25" t="s">
        <v>74</v>
      </c>
      <c r="AZ204" s="25"/>
      <c r="BA204" s="24">
        <f>11000</f>
        <v>11000</v>
      </c>
      <c r="BB204" s="24"/>
      <c r="BC204" s="24"/>
      <c r="BD204" s="25" t="s">
        <v>74</v>
      </c>
      <c r="BE204" s="25"/>
      <c r="BF204" s="24">
        <f>11000</f>
        <v>11000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11000</f>
        <v>11000</v>
      </c>
      <c r="BR204" s="24"/>
      <c r="BS204" s="24"/>
      <c r="BT204" s="27" t="s">
        <v>74</v>
      </c>
    </row>
    <row r="205" spans="1:72" s="1" customFormat="1" ht="13.5" customHeight="1">
      <c r="A205" s="16" t="s">
        <v>384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211</v>
      </c>
      <c r="N205" s="23"/>
      <c r="O205" s="23"/>
      <c r="P205" s="31" t="s">
        <v>385</v>
      </c>
      <c r="Q205" s="31"/>
      <c r="R205" s="31"/>
      <c r="S205" s="31"/>
      <c r="T205" s="31"/>
      <c r="U205" s="24">
        <f>1008747</f>
        <v>1008747</v>
      </c>
      <c r="V205" s="24"/>
      <c r="W205" s="24"/>
      <c r="X205" s="25" t="s">
        <v>74</v>
      </c>
      <c r="Y205" s="25"/>
      <c r="Z205" s="25"/>
      <c r="AA205" s="25"/>
      <c r="AB205" s="24">
        <f>1008747</f>
        <v>1008747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1008747</f>
        <v>1008747</v>
      </c>
      <c r="AX205" s="24"/>
      <c r="AY205" s="25" t="s">
        <v>74</v>
      </c>
      <c r="AZ205" s="25"/>
      <c r="BA205" s="24">
        <f>438826.13</f>
        <v>438826.13</v>
      </c>
      <c r="BB205" s="24"/>
      <c r="BC205" s="24"/>
      <c r="BD205" s="25" t="s">
        <v>74</v>
      </c>
      <c r="BE205" s="25"/>
      <c r="BF205" s="24">
        <f>438826.13</f>
        <v>438826.13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438826.13</f>
        <v>438826.13</v>
      </c>
      <c r="BR205" s="24"/>
      <c r="BS205" s="24"/>
      <c r="BT205" s="27" t="s">
        <v>74</v>
      </c>
    </row>
    <row r="206" spans="1:72" s="1" customFormat="1" ht="13.5" customHeight="1">
      <c r="A206" s="16" t="s">
        <v>386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211</v>
      </c>
      <c r="N206" s="23"/>
      <c r="O206" s="23"/>
      <c r="P206" s="31" t="s">
        <v>387</v>
      </c>
      <c r="Q206" s="31"/>
      <c r="R206" s="31"/>
      <c r="S206" s="31"/>
      <c r="T206" s="31"/>
      <c r="U206" s="24">
        <f>858747</f>
        <v>858747</v>
      </c>
      <c r="V206" s="24"/>
      <c r="W206" s="24"/>
      <c r="X206" s="25" t="s">
        <v>74</v>
      </c>
      <c r="Y206" s="25"/>
      <c r="Z206" s="25"/>
      <c r="AA206" s="25"/>
      <c r="AB206" s="24">
        <f>858747</f>
        <v>858747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858747</f>
        <v>858747</v>
      </c>
      <c r="AX206" s="24"/>
      <c r="AY206" s="25" t="s">
        <v>74</v>
      </c>
      <c r="AZ206" s="25"/>
      <c r="BA206" s="24">
        <f>427544.87</f>
        <v>427544.87</v>
      </c>
      <c r="BB206" s="24"/>
      <c r="BC206" s="24"/>
      <c r="BD206" s="25" t="s">
        <v>74</v>
      </c>
      <c r="BE206" s="25"/>
      <c r="BF206" s="24">
        <f>427544.87</f>
        <v>427544.87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427544.87</f>
        <v>427544.87</v>
      </c>
      <c r="BR206" s="24"/>
      <c r="BS206" s="24"/>
      <c r="BT206" s="27" t="s">
        <v>74</v>
      </c>
    </row>
    <row r="207" spans="1:72" s="1" customFormat="1" ht="54.75" customHeight="1">
      <c r="A207" s="16" t="s">
        <v>216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211</v>
      </c>
      <c r="N207" s="23"/>
      <c r="O207" s="23"/>
      <c r="P207" s="31" t="s">
        <v>388</v>
      </c>
      <c r="Q207" s="31"/>
      <c r="R207" s="31"/>
      <c r="S207" s="31"/>
      <c r="T207" s="31"/>
      <c r="U207" s="24">
        <f>514747</f>
        <v>514747</v>
      </c>
      <c r="V207" s="24"/>
      <c r="W207" s="24"/>
      <c r="X207" s="25" t="s">
        <v>74</v>
      </c>
      <c r="Y207" s="25"/>
      <c r="Z207" s="25"/>
      <c r="AA207" s="25"/>
      <c r="AB207" s="24">
        <f>514747</f>
        <v>514747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514747</f>
        <v>514747</v>
      </c>
      <c r="AX207" s="24"/>
      <c r="AY207" s="25" t="s">
        <v>74</v>
      </c>
      <c r="AZ207" s="25"/>
      <c r="BA207" s="24">
        <f>283861.62</f>
        <v>283861.62</v>
      </c>
      <c r="BB207" s="24"/>
      <c r="BC207" s="24"/>
      <c r="BD207" s="25" t="s">
        <v>74</v>
      </c>
      <c r="BE207" s="25"/>
      <c r="BF207" s="24">
        <f>283861.62</f>
        <v>283861.62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283861.62</f>
        <v>283861.62</v>
      </c>
      <c r="BR207" s="24"/>
      <c r="BS207" s="24"/>
      <c r="BT207" s="27" t="s">
        <v>74</v>
      </c>
    </row>
    <row r="208" spans="1:72" s="1" customFormat="1" ht="13.5" customHeight="1">
      <c r="A208" s="16" t="s">
        <v>264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211</v>
      </c>
      <c r="N208" s="23"/>
      <c r="O208" s="23"/>
      <c r="P208" s="31" t="s">
        <v>389</v>
      </c>
      <c r="Q208" s="31"/>
      <c r="R208" s="31"/>
      <c r="S208" s="31"/>
      <c r="T208" s="31"/>
      <c r="U208" s="24">
        <f>514747</f>
        <v>514747</v>
      </c>
      <c r="V208" s="24"/>
      <c r="W208" s="24"/>
      <c r="X208" s="25" t="s">
        <v>74</v>
      </c>
      <c r="Y208" s="25"/>
      <c r="Z208" s="25"/>
      <c r="AA208" s="25"/>
      <c r="AB208" s="24">
        <f>514747</f>
        <v>514747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514747</f>
        <v>514747</v>
      </c>
      <c r="AX208" s="24"/>
      <c r="AY208" s="25" t="s">
        <v>74</v>
      </c>
      <c r="AZ208" s="25"/>
      <c r="BA208" s="24">
        <f>283861.62</f>
        <v>283861.62</v>
      </c>
      <c r="BB208" s="24"/>
      <c r="BC208" s="24"/>
      <c r="BD208" s="25" t="s">
        <v>74</v>
      </c>
      <c r="BE208" s="25"/>
      <c r="BF208" s="24">
        <f>283861.62</f>
        <v>283861.62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283861.62</f>
        <v>283861.62</v>
      </c>
      <c r="BR208" s="24"/>
      <c r="BS208" s="24"/>
      <c r="BT208" s="27" t="s">
        <v>74</v>
      </c>
    </row>
    <row r="209" spans="1:72" s="1" customFormat="1" ht="13.5" customHeight="1">
      <c r="A209" s="16" t="s">
        <v>266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211</v>
      </c>
      <c r="N209" s="23"/>
      <c r="O209" s="23"/>
      <c r="P209" s="31" t="s">
        <v>390</v>
      </c>
      <c r="Q209" s="31"/>
      <c r="R209" s="31"/>
      <c r="S209" s="31"/>
      <c r="T209" s="31"/>
      <c r="U209" s="24">
        <f>395351</f>
        <v>395351</v>
      </c>
      <c r="V209" s="24"/>
      <c r="W209" s="24"/>
      <c r="X209" s="25" t="s">
        <v>74</v>
      </c>
      <c r="Y209" s="25"/>
      <c r="Z209" s="25"/>
      <c r="AA209" s="25"/>
      <c r="AB209" s="24">
        <f>395351</f>
        <v>395351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395351</f>
        <v>395351</v>
      </c>
      <c r="AX209" s="24"/>
      <c r="AY209" s="25" t="s">
        <v>74</v>
      </c>
      <c r="AZ209" s="25"/>
      <c r="BA209" s="24">
        <f>220867.03</f>
        <v>220867.03</v>
      </c>
      <c r="BB209" s="24"/>
      <c r="BC209" s="24"/>
      <c r="BD209" s="25" t="s">
        <v>74</v>
      </c>
      <c r="BE209" s="25"/>
      <c r="BF209" s="24">
        <f>220867.03</f>
        <v>220867.03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220867.03</f>
        <v>220867.03</v>
      </c>
      <c r="BR209" s="24"/>
      <c r="BS209" s="24"/>
      <c r="BT209" s="27" t="s">
        <v>74</v>
      </c>
    </row>
    <row r="210" spans="1:72" s="1" customFormat="1" ht="33.75" customHeight="1">
      <c r="A210" s="16" t="s">
        <v>268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211</v>
      </c>
      <c r="N210" s="23"/>
      <c r="O210" s="23"/>
      <c r="P210" s="31" t="s">
        <v>391</v>
      </c>
      <c r="Q210" s="31"/>
      <c r="R210" s="31"/>
      <c r="S210" s="31"/>
      <c r="T210" s="31"/>
      <c r="U210" s="24">
        <f>119396</f>
        <v>119396</v>
      </c>
      <c r="V210" s="24"/>
      <c r="W210" s="24"/>
      <c r="X210" s="25" t="s">
        <v>74</v>
      </c>
      <c r="Y210" s="25"/>
      <c r="Z210" s="25"/>
      <c r="AA210" s="25"/>
      <c r="AB210" s="24">
        <f>119396</f>
        <v>119396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119396</f>
        <v>119396</v>
      </c>
      <c r="AX210" s="24"/>
      <c r="AY210" s="25" t="s">
        <v>74</v>
      </c>
      <c r="AZ210" s="25"/>
      <c r="BA210" s="24">
        <f>62994.59</f>
        <v>62994.59</v>
      </c>
      <c r="BB210" s="24"/>
      <c r="BC210" s="24"/>
      <c r="BD210" s="25" t="s">
        <v>74</v>
      </c>
      <c r="BE210" s="25"/>
      <c r="BF210" s="24">
        <f>62994.59</f>
        <v>62994.59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62994.59</f>
        <v>62994.59</v>
      </c>
      <c r="BR210" s="24"/>
      <c r="BS210" s="24"/>
      <c r="BT210" s="27" t="s">
        <v>74</v>
      </c>
    </row>
    <row r="211" spans="1:72" s="1" customFormat="1" ht="24" customHeight="1">
      <c r="A211" s="16" t="s">
        <v>230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211</v>
      </c>
      <c r="N211" s="23"/>
      <c r="O211" s="23"/>
      <c r="P211" s="31" t="s">
        <v>392</v>
      </c>
      <c r="Q211" s="31"/>
      <c r="R211" s="31"/>
      <c r="S211" s="31"/>
      <c r="T211" s="31"/>
      <c r="U211" s="24">
        <f>178000</f>
        <v>178000</v>
      </c>
      <c r="V211" s="24"/>
      <c r="W211" s="24"/>
      <c r="X211" s="25" t="s">
        <v>74</v>
      </c>
      <c r="Y211" s="25"/>
      <c r="Z211" s="25"/>
      <c r="AA211" s="25"/>
      <c r="AB211" s="24">
        <f>178000</f>
        <v>178000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178000</f>
        <v>178000</v>
      </c>
      <c r="AX211" s="24"/>
      <c r="AY211" s="25" t="s">
        <v>74</v>
      </c>
      <c r="AZ211" s="25"/>
      <c r="BA211" s="24">
        <f>101483.25</f>
        <v>101483.25</v>
      </c>
      <c r="BB211" s="24"/>
      <c r="BC211" s="24"/>
      <c r="BD211" s="25" t="s">
        <v>74</v>
      </c>
      <c r="BE211" s="25"/>
      <c r="BF211" s="24">
        <f>101483.25</f>
        <v>101483.25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101483.25</f>
        <v>101483.25</v>
      </c>
      <c r="BR211" s="24"/>
      <c r="BS211" s="24"/>
      <c r="BT211" s="27" t="s">
        <v>74</v>
      </c>
    </row>
    <row r="212" spans="1:72" s="1" customFormat="1" ht="24" customHeight="1">
      <c r="A212" s="16" t="s">
        <v>232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211</v>
      </c>
      <c r="N212" s="23"/>
      <c r="O212" s="23"/>
      <c r="P212" s="31" t="s">
        <v>393</v>
      </c>
      <c r="Q212" s="31"/>
      <c r="R212" s="31"/>
      <c r="S212" s="31"/>
      <c r="T212" s="31"/>
      <c r="U212" s="24">
        <f>178000</f>
        <v>178000</v>
      </c>
      <c r="V212" s="24"/>
      <c r="W212" s="24"/>
      <c r="X212" s="25" t="s">
        <v>74</v>
      </c>
      <c r="Y212" s="25"/>
      <c r="Z212" s="25"/>
      <c r="AA212" s="25"/>
      <c r="AB212" s="24">
        <f>178000</f>
        <v>178000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178000</f>
        <v>178000</v>
      </c>
      <c r="AX212" s="24"/>
      <c r="AY212" s="25" t="s">
        <v>74</v>
      </c>
      <c r="AZ212" s="25"/>
      <c r="BA212" s="24">
        <f>101483.25</f>
        <v>101483.25</v>
      </c>
      <c r="BB212" s="24"/>
      <c r="BC212" s="24"/>
      <c r="BD212" s="25" t="s">
        <v>74</v>
      </c>
      <c r="BE212" s="25"/>
      <c r="BF212" s="24">
        <f>101483.25</f>
        <v>101483.25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101483.25</f>
        <v>101483.25</v>
      </c>
      <c r="BR212" s="24"/>
      <c r="BS212" s="24"/>
      <c r="BT212" s="27" t="s">
        <v>74</v>
      </c>
    </row>
    <row r="213" spans="1:72" s="1" customFormat="1" ht="13.5" customHeight="1">
      <c r="A213" s="16" t="s">
        <v>234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211</v>
      </c>
      <c r="N213" s="23"/>
      <c r="O213" s="23"/>
      <c r="P213" s="31" t="s">
        <v>394</v>
      </c>
      <c r="Q213" s="31"/>
      <c r="R213" s="31"/>
      <c r="S213" s="31"/>
      <c r="T213" s="31"/>
      <c r="U213" s="24">
        <f>178000</f>
        <v>178000</v>
      </c>
      <c r="V213" s="24"/>
      <c r="W213" s="24"/>
      <c r="X213" s="25" t="s">
        <v>74</v>
      </c>
      <c r="Y213" s="25"/>
      <c r="Z213" s="25"/>
      <c r="AA213" s="25"/>
      <c r="AB213" s="24">
        <f>178000</f>
        <v>178000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178000</f>
        <v>178000</v>
      </c>
      <c r="AX213" s="24"/>
      <c r="AY213" s="25" t="s">
        <v>74</v>
      </c>
      <c r="AZ213" s="25"/>
      <c r="BA213" s="24">
        <f>101483.25</f>
        <v>101483.25</v>
      </c>
      <c r="BB213" s="24"/>
      <c r="BC213" s="24"/>
      <c r="BD213" s="25" t="s">
        <v>74</v>
      </c>
      <c r="BE213" s="25"/>
      <c r="BF213" s="24">
        <f>101483.25</f>
        <v>101483.25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101483.25</f>
        <v>101483.25</v>
      </c>
      <c r="BR213" s="24"/>
      <c r="BS213" s="24"/>
      <c r="BT213" s="27" t="s">
        <v>74</v>
      </c>
    </row>
    <row r="214" spans="1:72" s="1" customFormat="1" ht="13.5" customHeight="1">
      <c r="A214" s="16" t="s">
        <v>238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211</v>
      </c>
      <c r="N214" s="23"/>
      <c r="O214" s="23"/>
      <c r="P214" s="31" t="s">
        <v>395</v>
      </c>
      <c r="Q214" s="31"/>
      <c r="R214" s="31"/>
      <c r="S214" s="31"/>
      <c r="T214" s="31"/>
      <c r="U214" s="24">
        <f>166000</f>
        <v>166000</v>
      </c>
      <c r="V214" s="24"/>
      <c r="W214" s="24"/>
      <c r="X214" s="25" t="s">
        <v>74</v>
      </c>
      <c r="Y214" s="25"/>
      <c r="Z214" s="25"/>
      <c r="AA214" s="25"/>
      <c r="AB214" s="24">
        <f>166000</f>
        <v>166000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166000</f>
        <v>166000</v>
      </c>
      <c r="AX214" s="24"/>
      <c r="AY214" s="25" t="s">
        <v>74</v>
      </c>
      <c r="AZ214" s="25"/>
      <c r="BA214" s="24">
        <f>42200</f>
        <v>42200</v>
      </c>
      <c r="BB214" s="24"/>
      <c r="BC214" s="24"/>
      <c r="BD214" s="25" t="s">
        <v>74</v>
      </c>
      <c r="BE214" s="25"/>
      <c r="BF214" s="24">
        <f>42200</f>
        <v>42200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42200</f>
        <v>42200</v>
      </c>
      <c r="BR214" s="24"/>
      <c r="BS214" s="24"/>
      <c r="BT214" s="27" t="s">
        <v>74</v>
      </c>
    </row>
    <row r="215" spans="1:72" s="1" customFormat="1" ht="13.5" customHeight="1">
      <c r="A215" s="16" t="s">
        <v>240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211</v>
      </c>
      <c r="N215" s="23"/>
      <c r="O215" s="23"/>
      <c r="P215" s="31" t="s">
        <v>396</v>
      </c>
      <c r="Q215" s="31"/>
      <c r="R215" s="31"/>
      <c r="S215" s="31"/>
      <c r="T215" s="31"/>
      <c r="U215" s="24">
        <f>166000</f>
        <v>166000</v>
      </c>
      <c r="V215" s="24"/>
      <c r="W215" s="24"/>
      <c r="X215" s="25" t="s">
        <v>74</v>
      </c>
      <c r="Y215" s="25"/>
      <c r="Z215" s="25"/>
      <c r="AA215" s="25"/>
      <c r="AB215" s="24">
        <f>166000</f>
        <v>166000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166000</f>
        <v>166000</v>
      </c>
      <c r="AX215" s="24"/>
      <c r="AY215" s="25" t="s">
        <v>74</v>
      </c>
      <c r="AZ215" s="25"/>
      <c r="BA215" s="24">
        <f>42200</f>
        <v>42200</v>
      </c>
      <c r="BB215" s="24"/>
      <c r="BC215" s="24"/>
      <c r="BD215" s="25" t="s">
        <v>74</v>
      </c>
      <c r="BE215" s="25"/>
      <c r="BF215" s="24">
        <f>42200</f>
        <v>42200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42200</f>
        <v>42200</v>
      </c>
      <c r="BR215" s="24"/>
      <c r="BS215" s="24"/>
      <c r="BT215" s="27" t="s">
        <v>74</v>
      </c>
    </row>
    <row r="216" spans="1:72" s="1" customFormat="1" ht="24" customHeight="1">
      <c r="A216" s="16" t="s">
        <v>242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211</v>
      </c>
      <c r="N216" s="23"/>
      <c r="O216" s="23"/>
      <c r="P216" s="31" t="s">
        <v>397</v>
      </c>
      <c r="Q216" s="31"/>
      <c r="R216" s="31"/>
      <c r="S216" s="31"/>
      <c r="T216" s="31"/>
      <c r="U216" s="24">
        <f>165000</f>
        <v>165000</v>
      </c>
      <c r="V216" s="24"/>
      <c r="W216" s="24"/>
      <c r="X216" s="25" t="s">
        <v>74</v>
      </c>
      <c r="Y216" s="25"/>
      <c r="Z216" s="25"/>
      <c r="AA216" s="25"/>
      <c r="AB216" s="24">
        <f>165000</f>
        <v>165000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165000</f>
        <v>165000</v>
      </c>
      <c r="AX216" s="24"/>
      <c r="AY216" s="25" t="s">
        <v>74</v>
      </c>
      <c r="AZ216" s="25"/>
      <c r="BA216" s="24">
        <f>42200</f>
        <v>42200</v>
      </c>
      <c r="BB216" s="24"/>
      <c r="BC216" s="24"/>
      <c r="BD216" s="25" t="s">
        <v>74</v>
      </c>
      <c r="BE216" s="25"/>
      <c r="BF216" s="24">
        <f>42200</f>
        <v>42200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42200</f>
        <v>42200</v>
      </c>
      <c r="BR216" s="24"/>
      <c r="BS216" s="24"/>
      <c r="BT216" s="27" t="s">
        <v>74</v>
      </c>
    </row>
    <row r="217" spans="1:72" s="1" customFormat="1" ht="13.5" customHeight="1">
      <c r="A217" s="16" t="s">
        <v>244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211</v>
      </c>
      <c r="N217" s="23"/>
      <c r="O217" s="23"/>
      <c r="P217" s="31" t="s">
        <v>398</v>
      </c>
      <c r="Q217" s="31"/>
      <c r="R217" s="31"/>
      <c r="S217" s="31"/>
      <c r="T217" s="31"/>
      <c r="U217" s="24">
        <f>1000</f>
        <v>1000</v>
      </c>
      <c r="V217" s="24"/>
      <c r="W217" s="24"/>
      <c r="X217" s="25" t="s">
        <v>74</v>
      </c>
      <c r="Y217" s="25"/>
      <c r="Z217" s="25"/>
      <c r="AA217" s="25"/>
      <c r="AB217" s="24">
        <f>1000</f>
        <v>1000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1000</f>
        <v>1000</v>
      </c>
      <c r="AX217" s="24"/>
      <c r="AY217" s="25" t="s">
        <v>74</v>
      </c>
      <c r="AZ217" s="25"/>
      <c r="BA217" s="25" t="s">
        <v>74</v>
      </c>
      <c r="BB217" s="25"/>
      <c r="BC217" s="25"/>
      <c r="BD217" s="25" t="s">
        <v>74</v>
      </c>
      <c r="BE217" s="25"/>
      <c r="BF217" s="25" t="s">
        <v>74</v>
      </c>
      <c r="BG217" s="25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5" t="s">
        <v>74</v>
      </c>
      <c r="BR217" s="25"/>
      <c r="BS217" s="25"/>
      <c r="BT217" s="27" t="s">
        <v>74</v>
      </c>
    </row>
    <row r="218" spans="1:72" s="1" customFormat="1" ht="13.5" customHeight="1">
      <c r="A218" s="16" t="s">
        <v>399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211</v>
      </c>
      <c r="N218" s="23"/>
      <c r="O218" s="23"/>
      <c r="P218" s="31" t="s">
        <v>400</v>
      </c>
      <c r="Q218" s="31"/>
      <c r="R218" s="31"/>
      <c r="S218" s="31"/>
      <c r="T218" s="31"/>
      <c r="U218" s="24">
        <f>150000</f>
        <v>150000</v>
      </c>
      <c r="V218" s="24"/>
      <c r="W218" s="24"/>
      <c r="X218" s="25" t="s">
        <v>74</v>
      </c>
      <c r="Y218" s="25"/>
      <c r="Z218" s="25"/>
      <c r="AA218" s="25"/>
      <c r="AB218" s="24">
        <f>150000</f>
        <v>150000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150000</f>
        <v>150000</v>
      </c>
      <c r="AX218" s="24"/>
      <c r="AY218" s="25" t="s">
        <v>74</v>
      </c>
      <c r="AZ218" s="25"/>
      <c r="BA218" s="24">
        <f>11281.26</f>
        <v>11281.26</v>
      </c>
      <c r="BB218" s="24"/>
      <c r="BC218" s="24"/>
      <c r="BD218" s="25" t="s">
        <v>74</v>
      </c>
      <c r="BE218" s="25"/>
      <c r="BF218" s="24">
        <f>11281.26</f>
        <v>11281.26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11281.26</f>
        <v>11281.26</v>
      </c>
      <c r="BR218" s="24"/>
      <c r="BS218" s="24"/>
      <c r="BT218" s="27" t="s">
        <v>74</v>
      </c>
    </row>
    <row r="219" spans="1:72" s="1" customFormat="1" ht="24" customHeight="1">
      <c r="A219" s="16" t="s">
        <v>230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211</v>
      </c>
      <c r="N219" s="23"/>
      <c r="O219" s="23"/>
      <c r="P219" s="31" t="s">
        <v>401</v>
      </c>
      <c r="Q219" s="31"/>
      <c r="R219" s="31"/>
      <c r="S219" s="31"/>
      <c r="T219" s="31"/>
      <c r="U219" s="24">
        <f>150000</f>
        <v>150000</v>
      </c>
      <c r="V219" s="24"/>
      <c r="W219" s="24"/>
      <c r="X219" s="25" t="s">
        <v>74</v>
      </c>
      <c r="Y219" s="25"/>
      <c r="Z219" s="25"/>
      <c r="AA219" s="25"/>
      <c r="AB219" s="24">
        <f>150000</f>
        <v>150000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150000</f>
        <v>150000</v>
      </c>
      <c r="AX219" s="24"/>
      <c r="AY219" s="25" t="s">
        <v>74</v>
      </c>
      <c r="AZ219" s="25"/>
      <c r="BA219" s="24">
        <f>11281.26</f>
        <v>11281.26</v>
      </c>
      <c r="BB219" s="24"/>
      <c r="BC219" s="24"/>
      <c r="BD219" s="25" t="s">
        <v>74</v>
      </c>
      <c r="BE219" s="25"/>
      <c r="BF219" s="24">
        <f>11281.26</f>
        <v>11281.26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11281.26</f>
        <v>11281.26</v>
      </c>
      <c r="BR219" s="24"/>
      <c r="BS219" s="24"/>
      <c r="BT219" s="27" t="s">
        <v>74</v>
      </c>
    </row>
    <row r="220" spans="1:72" s="1" customFormat="1" ht="24" customHeight="1">
      <c r="A220" s="16" t="s">
        <v>232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211</v>
      </c>
      <c r="N220" s="23"/>
      <c r="O220" s="23"/>
      <c r="P220" s="31" t="s">
        <v>402</v>
      </c>
      <c r="Q220" s="31"/>
      <c r="R220" s="31"/>
      <c r="S220" s="31"/>
      <c r="T220" s="31"/>
      <c r="U220" s="24">
        <f>150000</f>
        <v>150000</v>
      </c>
      <c r="V220" s="24"/>
      <c r="W220" s="24"/>
      <c r="X220" s="25" t="s">
        <v>74</v>
      </c>
      <c r="Y220" s="25"/>
      <c r="Z220" s="25"/>
      <c r="AA220" s="25"/>
      <c r="AB220" s="24">
        <f>150000</f>
        <v>150000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150000</f>
        <v>150000</v>
      </c>
      <c r="AX220" s="24"/>
      <c r="AY220" s="25" t="s">
        <v>74</v>
      </c>
      <c r="AZ220" s="25"/>
      <c r="BA220" s="24">
        <f>11281.26</f>
        <v>11281.26</v>
      </c>
      <c r="BB220" s="24"/>
      <c r="BC220" s="24"/>
      <c r="BD220" s="25" t="s">
        <v>74</v>
      </c>
      <c r="BE220" s="25"/>
      <c r="BF220" s="24">
        <f>11281.26</f>
        <v>11281.26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11281.26</f>
        <v>11281.26</v>
      </c>
      <c r="BR220" s="24"/>
      <c r="BS220" s="24"/>
      <c r="BT220" s="27" t="s">
        <v>74</v>
      </c>
    </row>
    <row r="221" spans="1:72" s="1" customFormat="1" ht="13.5" customHeight="1">
      <c r="A221" s="16" t="s">
        <v>234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211</v>
      </c>
      <c r="N221" s="23"/>
      <c r="O221" s="23"/>
      <c r="P221" s="31" t="s">
        <v>403</v>
      </c>
      <c r="Q221" s="31"/>
      <c r="R221" s="31"/>
      <c r="S221" s="31"/>
      <c r="T221" s="31"/>
      <c r="U221" s="24">
        <f>150000</f>
        <v>150000</v>
      </c>
      <c r="V221" s="24"/>
      <c r="W221" s="24"/>
      <c r="X221" s="25" t="s">
        <v>74</v>
      </c>
      <c r="Y221" s="25"/>
      <c r="Z221" s="25"/>
      <c r="AA221" s="25"/>
      <c r="AB221" s="24">
        <f>150000</f>
        <v>150000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150000</f>
        <v>150000</v>
      </c>
      <c r="AX221" s="24"/>
      <c r="AY221" s="25" t="s">
        <v>74</v>
      </c>
      <c r="AZ221" s="25"/>
      <c r="BA221" s="24">
        <f>11281.26</f>
        <v>11281.26</v>
      </c>
      <c r="BB221" s="24"/>
      <c r="BC221" s="24"/>
      <c r="BD221" s="25" t="s">
        <v>74</v>
      </c>
      <c r="BE221" s="25"/>
      <c r="BF221" s="24">
        <f>11281.26</f>
        <v>11281.26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11281.26</f>
        <v>11281.26</v>
      </c>
      <c r="BR221" s="24"/>
      <c r="BS221" s="24"/>
      <c r="BT221" s="27" t="s">
        <v>74</v>
      </c>
    </row>
    <row r="222" spans="1:72" s="1" customFormat="1" ht="27" customHeight="1">
      <c r="A222" s="32" t="s">
        <v>404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3" t="s">
        <v>405</v>
      </c>
      <c r="N222" s="33"/>
      <c r="O222" s="33"/>
      <c r="P222" s="33" t="s">
        <v>73</v>
      </c>
      <c r="Q222" s="33"/>
      <c r="R222" s="33"/>
      <c r="S222" s="33"/>
      <c r="T222" s="33"/>
      <c r="U222" s="34">
        <f>-34852121.43</f>
        <v>-34852121.43</v>
      </c>
      <c r="V222" s="34"/>
      <c r="W222" s="34"/>
      <c r="X222" s="35" t="s">
        <v>74</v>
      </c>
      <c r="Y222" s="35"/>
      <c r="Z222" s="35"/>
      <c r="AA222" s="35"/>
      <c r="AB222" s="34">
        <f>-34852121.43</f>
        <v>-34852121.43</v>
      </c>
      <c r="AC222" s="34"/>
      <c r="AD222" s="34"/>
      <c r="AE222" s="36">
        <f>29635157.77</f>
        <v>29635157.77</v>
      </c>
      <c r="AF222" s="37" t="s">
        <v>74</v>
      </c>
      <c r="AG222" s="35" t="s">
        <v>74</v>
      </c>
      <c r="AH222" s="35"/>
      <c r="AI222" s="35"/>
      <c r="AJ222" s="35" t="s">
        <v>74</v>
      </c>
      <c r="AK222" s="35"/>
      <c r="AL222" s="35" t="s">
        <v>74</v>
      </c>
      <c r="AM222" s="35"/>
      <c r="AN222" s="35" t="s">
        <v>74</v>
      </c>
      <c r="AO222" s="35"/>
      <c r="AP222" s="35" t="s">
        <v>74</v>
      </c>
      <c r="AQ222" s="35"/>
      <c r="AR222" s="35"/>
      <c r="AS222" s="37" t="s">
        <v>74</v>
      </c>
      <c r="AT222" s="35" t="s">
        <v>74</v>
      </c>
      <c r="AU222" s="35"/>
      <c r="AV222" s="35"/>
      <c r="AW222" s="34">
        <f>-5216963.66</f>
        <v>-5216963.66</v>
      </c>
      <c r="AX222" s="34"/>
      <c r="AY222" s="35" t="s">
        <v>74</v>
      </c>
      <c r="AZ222" s="35"/>
      <c r="BA222" s="34">
        <f>-25836823.22</f>
        <v>-25836823.22</v>
      </c>
      <c r="BB222" s="34"/>
      <c r="BC222" s="34"/>
      <c r="BD222" s="35" t="s">
        <v>74</v>
      </c>
      <c r="BE222" s="35"/>
      <c r="BF222" s="34">
        <f>-25836823.22</f>
        <v>-25836823.22</v>
      </c>
      <c r="BG222" s="34"/>
      <c r="BH222" s="36">
        <f>24045309.72</f>
        <v>24045309.72</v>
      </c>
      <c r="BI222" s="37" t="s">
        <v>74</v>
      </c>
      <c r="BJ222" s="37" t="s">
        <v>74</v>
      </c>
      <c r="BK222" s="37" t="s">
        <v>74</v>
      </c>
      <c r="BL222" s="37" t="s">
        <v>74</v>
      </c>
      <c r="BM222" s="37" t="s">
        <v>74</v>
      </c>
      <c r="BN222" s="37" t="s">
        <v>74</v>
      </c>
      <c r="BO222" s="37" t="s">
        <v>74</v>
      </c>
      <c r="BP222" s="37" t="s">
        <v>74</v>
      </c>
      <c r="BQ222" s="34">
        <f>-1791513.5</f>
        <v>-1791513.5</v>
      </c>
      <c r="BR222" s="34"/>
      <c r="BS222" s="34"/>
      <c r="BT222" s="38" t="s">
        <v>74</v>
      </c>
    </row>
    <row r="223" spans="1:72" s="1" customFormat="1" ht="13.5" customHeight="1">
      <c r="A223" s="29" t="s">
        <v>9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1:72" s="1" customFormat="1" ht="15.75" customHeight="1">
      <c r="A224" s="12" t="s">
        <v>406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  <row r="225" spans="1:72" s="1" customFormat="1" ht="28.5" customHeight="1">
      <c r="A225" s="3" t="s">
        <v>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 t="s">
        <v>22</v>
      </c>
      <c r="N225" s="3"/>
      <c r="O225" s="3"/>
      <c r="P225" s="3" t="s">
        <v>23</v>
      </c>
      <c r="Q225" s="3"/>
      <c r="R225" s="3"/>
      <c r="S225" s="3"/>
      <c r="T225" s="3"/>
      <c r="U225" s="3" t="s">
        <v>24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 t="s">
        <v>39</v>
      </c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</row>
    <row r="226" spans="1:72" s="1" customFormat="1" ht="126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3" t="s">
        <v>25</v>
      </c>
      <c r="V226" s="13"/>
      <c r="W226" s="13"/>
      <c r="X226" s="13" t="s">
        <v>26</v>
      </c>
      <c r="Y226" s="13"/>
      <c r="Z226" s="13"/>
      <c r="AA226" s="13"/>
      <c r="AB226" s="13" t="s">
        <v>27</v>
      </c>
      <c r="AC226" s="13"/>
      <c r="AD226" s="13"/>
      <c r="AE226" s="14" t="s">
        <v>28</v>
      </c>
      <c r="AF226" s="14" t="s">
        <v>29</v>
      </c>
      <c r="AG226" s="13" t="s">
        <v>30</v>
      </c>
      <c r="AH226" s="13"/>
      <c r="AI226" s="13"/>
      <c r="AJ226" s="13" t="s">
        <v>31</v>
      </c>
      <c r="AK226" s="13"/>
      <c r="AL226" s="13" t="s">
        <v>32</v>
      </c>
      <c r="AM226" s="13"/>
      <c r="AN226" s="13" t="s">
        <v>33</v>
      </c>
      <c r="AO226" s="13"/>
      <c r="AP226" s="13" t="s">
        <v>34</v>
      </c>
      <c r="AQ226" s="13"/>
      <c r="AR226" s="13"/>
      <c r="AS226" s="14" t="s">
        <v>35</v>
      </c>
      <c r="AT226" s="13" t="s">
        <v>36</v>
      </c>
      <c r="AU226" s="13"/>
      <c r="AV226" s="13"/>
      <c r="AW226" s="13" t="s">
        <v>37</v>
      </c>
      <c r="AX226" s="13"/>
      <c r="AY226" s="13" t="s">
        <v>38</v>
      </c>
      <c r="AZ226" s="13"/>
      <c r="BA226" s="13" t="s">
        <v>25</v>
      </c>
      <c r="BB226" s="13"/>
      <c r="BC226" s="13"/>
      <c r="BD226" s="13" t="s">
        <v>26</v>
      </c>
      <c r="BE226" s="13"/>
      <c r="BF226" s="13" t="s">
        <v>27</v>
      </c>
      <c r="BG226" s="13"/>
      <c r="BH226" s="14" t="s">
        <v>28</v>
      </c>
      <c r="BI226" s="14" t="s">
        <v>29</v>
      </c>
      <c r="BJ226" s="14" t="s">
        <v>30</v>
      </c>
      <c r="BK226" s="14" t="s">
        <v>31</v>
      </c>
      <c r="BL226" s="14" t="s">
        <v>32</v>
      </c>
      <c r="BM226" s="14" t="s">
        <v>33</v>
      </c>
      <c r="BN226" s="14" t="s">
        <v>34</v>
      </c>
      <c r="BO226" s="14" t="s">
        <v>35</v>
      </c>
      <c r="BP226" s="14" t="s">
        <v>36</v>
      </c>
      <c r="BQ226" s="13" t="s">
        <v>37</v>
      </c>
      <c r="BR226" s="13"/>
      <c r="BS226" s="13"/>
      <c r="BT226" s="14" t="s">
        <v>38</v>
      </c>
    </row>
    <row r="227" spans="1:72" s="1" customFormat="1" ht="13.5" customHeight="1">
      <c r="A227" s="3" t="s">
        <v>40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 t="s">
        <v>41</v>
      </c>
      <c r="N227" s="3"/>
      <c r="O227" s="3"/>
      <c r="P227" s="3" t="s">
        <v>42</v>
      </c>
      <c r="Q227" s="3"/>
      <c r="R227" s="3"/>
      <c r="S227" s="3"/>
      <c r="T227" s="3"/>
      <c r="U227" s="3" t="s">
        <v>43</v>
      </c>
      <c r="V227" s="3"/>
      <c r="W227" s="3"/>
      <c r="X227" s="3" t="s">
        <v>44</v>
      </c>
      <c r="Y227" s="3"/>
      <c r="Z227" s="3"/>
      <c r="AA227" s="3"/>
      <c r="AB227" s="3" t="s">
        <v>45</v>
      </c>
      <c r="AC227" s="3"/>
      <c r="AD227" s="3"/>
      <c r="AE227" s="15" t="s">
        <v>46</v>
      </c>
      <c r="AF227" s="15" t="s">
        <v>47</v>
      </c>
      <c r="AG227" s="3" t="s">
        <v>48</v>
      </c>
      <c r="AH227" s="3"/>
      <c r="AI227" s="3"/>
      <c r="AJ227" s="3" t="s">
        <v>49</v>
      </c>
      <c r="AK227" s="3"/>
      <c r="AL227" s="3" t="s">
        <v>50</v>
      </c>
      <c r="AM227" s="3"/>
      <c r="AN227" s="3" t="s">
        <v>51</v>
      </c>
      <c r="AO227" s="3"/>
      <c r="AP227" s="3" t="s">
        <v>52</v>
      </c>
      <c r="AQ227" s="3"/>
      <c r="AR227" s="3"/>
      <c r="AS227" s="15" t="s">
        <v>53</v>
      </c>
      <c r="AT227" s="3" t="s">
        <v>54</v>
      </c>
      <c r="AU227" s="3"/>
      <c r="AV227" s="3"/>
      <c r="AW227" s="3" t="s">
        <v>55</v>
      </c>
      <c r="AX227" s="3"/>
      <c r="AY227" s="3" t="s">
        <v>56</v>
      </c>
      <c r="AZ227" s="3"/>
      <c r="BA227" s="3" t="s">
        <v>57</v>
      </c>
      <c r="BB227" s="3"/>
      <c r="BC227" s="3"/>
      <c r="BD227" s="3" t="s">
        <v>58</v>
      </c>
      <c r="BE227" s="3"/>
      <c r="BF227" s="3" t="s">
        <v>59</v>
      </c>
      <c r="BG227" s="3"/>
      <c r="BH227" s="15" t="s">
        <v>60</v>
      </c>
      <c r="BI227" s="15" t="s">
        <v>61</v>
      </c>
      <c r="BJ227" s="15" t="s">
        <v>62</v>
      </c>
      <c r="BK227" s="15" t="s">
        <v>63</v>
      </c>
      <c r="BL227" s="15" t="s">
        <v>64</v>
      </c>
      <c r="BM227" s="15" t="s">
        <v>65</v>
      </c>
      <c r="BN227" s="15" t="s">
        <v>66</v>
      </c>
      <c r="BO227" s="15" t="s">
        <v>67</v>
      </c>
      <c r="BP227" s="15" t="s">
        <v>68</v>
      </c>
      <c r="BQ227" s="3" t="s">
        <v>69</v>
      </c>
      <c r="BR227" s="3"/>
      <c r="BS227" s="3"/>
      <c r="BT227" s="15" t="s">
        <v>70</v>
      </c>
    </row>
    <row r="228" spans="1:72" s="1" customFormat="1" ht="27" customHeight="1">
      <c r="A228" s="16" t="s">
        <v>407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7" t="s">
        <v>408</v>
      </c>
      <c r="N228" s="17"/>
      <c r="O228" s="17"/>
      <c r="P228" s="17" t="s">
        <v>73</v>
      </c>
      <c r="Q228" s="17"/>
      <c r="R228" s="17"/>
      <c r="S228" s="17"/>
      <c r="T228" s="17"/>
      <c r="U228" s="18">
        <f>34852121.43</f>
        <v>34852121.43</v>
      </c>
      <c r="V228" s="18"/>
      <c r="W228" s="18"/>
      <c r="X228" s="19" t="s">
        <v>74</v>
      </c>
      <c r="Y228" s="19"/>
      <c r="Z228" s="19"/>
      <c r="AA228" s="19"/>
      <c r="AB228" s="18">
        <f>34852121.43</f>
        <v>34852121.43</v>
      </c>
      <c r="AC228" s="18"/>
      <c r="AD228" s="18"/>
      <c r="AE228" s="20">
        <f>-29635157.77</f>
        <v>-29635157.77</v>
      </c>
      <c r="AF228" s="21" t="s">
        <v>74</v>
      </c>
      <c r="AG228" s="19" t="s">
        <v>74</v>
      </c>
      <c r="AH228" s="19"/>
      <c r="AI228" s="19"/>
      <c r="AJ228" s="19" t="s">
        <v>74</v>
      </c>
      <c r="AK228" s="19"/>
      <c r="AL228" s="19" t="s">
        <v>74</v>
      </c>
      <c r="AM228" s="19"/>
      <c r="AN228" s="19" t="s">
        <v>74</v>
      </c>
      <c r="AO228" s="19"/>
      <c r="AP228" s="19" t="s">
        <v>74</v>
      </c>
      <c r="AQ228" s="19"/>
      <c r="AR228" s="19"/>
      <c r="AS228" s="21" t="s">
        <v>74</v>
      </c>
      <c r="AT228" s="19" t="s">
        <v>74</v>
      </c>
      <c r="AU228" s="19"/>
      <c r="AV228" s="19"/>
      <c r="AW228" s="18">
        <f>5216963.66</f>
        <v>5216963.66</v>
      </c>
      <c r="AX228" s="18"/>
      <c r="AY228" s="19" t="s">
        <v>74</v>
      </c>
      <c r="AZ228" s="19"/>
      <c r="BA228" s="18">
        <f>25836823.22</f>
        <v>25836823.22</v>
      </c>
      <c r="BB228" s="18"/>
      <c r="BC228" s="18"/>
      <c r="BD228" s="19" t="s">
        <v>74</v>
      </c>
      <c r="BE228" s="19"/>
      <c r="BF228" s="18">
        <f>25836823.22</f>
        <v>25836823.22</v>
      </c>
      <c r="BG228" s="18"/>
      <c r="BH228" s="20">
        <f>-24045309.72</f>
        <v>-24045309.72</v>
      </c>
      <c r="BI228" s="21" t="s">
        <v>74</v>
      </c>
      <c r="BJ228" s="21" t="s">
        <v>74</v>
      </c>
      <c r="BK228" s="21" t="s">
        <v>74</v>
      </c>
      <c r="BL228" s="21" t="s">
        <v>74</v>
      </c>
      <c r="BM228" s="21" t="s">
        <v>74</v>
      </c>
      <c r="BN228" s="21" t="s">
        <v>74</v>
      </c>
      <c r="BO228" s="21" t="s">
        <v>74</v>
      </c>
      <c r="BP228" s="21" t="s">
        <v>74</v>
      </c>
      <c r="BQ228" s="18">
        <f>1791513.5</f>
        <v>1791513.5</v>
      </c>
      <c r="BR228" s="18"/>
      <c r="BS228" s="18"/>
      <c r="BT228" s="22" t="s">
        <v>74</v>
      </c>
    </row>
    <row r="229" spans="1:72" s="1" customFormat="1" ht="24" customHeight="1">
      <c r="A229" s="16" t="s">
        <v>409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410</v>
      </c>
      <c r="N229" s="23"/>
      <c r="O229" s="23"/>
      <c r="P229" s="23" t="s">
        <v>73</v>
      </c>
      <c r="Q229" s="23"/>
      <c r="R229" s="23"/>
      <c r="S229" s="23"/>
      <c r="T229" s="23"/>
      <c r="U229" s="25" t="s">
        <v>74</v>
      </c>
      <c r="V229" s="25"/>
      <c r="W229" s="25"/>
      <c r="X229" s="25" t="s">
        <v>74</v>
      </c>
      <c r="Y229" s="25"/>
      <c r="Z229" s="25"/>
      <c r="AA229" s="25"/>
      <c r="AB229" s="25" t="s">
        <v>74</v>
      </c>
      <c r="AC229" s="25"/>
      <c r="AD229" s="25"/>
      <c r="AE229" s="26" t="s">
        <v>74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5" t="s">
        <v>74</v>
      </c>
      <c r="AX229" s="25"/>
      <c r="AY229" s="25" t="s">
        <v>74</v>
      </c>
      <c r="AZ229" s="25"/>
      <c r="BA229" s="25" t="s">
        <v>74</v>
      </c>
      <c r="BB229" s="25"/>
      <c r="BC229" s="25"/>
      <c r="BD229" s="25" t="s">
        <v>74</v>
      </c>
      <c r="BE229" s="25"/>
      <c r="BF229" s="25" t="s">
        <v>74</v>
      </c>
      <c r="BG229" s="25"/>
      <c r="BH229" s="26" t="s">
        <v>74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5" t="s">
        <v>74</v>
      </c>
      <c r="BR229" s="25"/>
      <c r="BS229" s="25"/>
      <c r="BT229" s="27" t="s">
        <v>74</v>
      </c>
    </row>
    <row r="230" spans="1:72" s="1" customFormat="1" ht="13.5" customHeight="1">
      <c r="A230" s="16" t="s">
        <v>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410</v>
      </c>
      <c r="N230" s="23"/>
      <c r="O230" s="23"/>
      <c r="P230" s="23" t="s">
        <v>9</v>
      </c>
      <c r="Q230" s="23"/>
      <c r="R230" s="23"/>
      <c r="S230" s="23"/>
      <c r="T230" s="23"/>
      <c r="U230" s="25" t="s">
        <v>74</v>
      </c>
      <c r="V230" s="25"/>
      <c r="W230" s="25"/>
      <c r="X230" s="25" t="s">
        <v>74</v>
      </c>
      <c r="Y230" s="25"/>
      <c r="Z230" s="25"/>
      <c r="AA230" s="25"/>
      <c r="AB230" s="25" t="s">
        <v>74</v>
      </c>
      <c r="AC230" s="25"/>
      <c r="AD230" s="25"/>
      <c r="AE230" s="26" t="s">
        <v>74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5" t="s">
        <v>74</v>
      </c>
      <c r="AX230" s="25"/>
      <c r="AY230" s="25" t="s">
        <v>74</v>
      </c>
      <c r="AZ230" s="25"/>
      <c r="BA230" s="25" t="s">
        <v>74</v>
      </c>
      <c r="BB230" s="25"/>
      <c r="BC230" s="25"/>
      <c r="BD230" s="25" t="s">
        <v>74</v>
      </c>
      <c r="BE230" s="25"/>
      <c r="BF230" s="25" t="s">
        <v>74</v>
      </c>
      <c r="BG230" s="25"/>
      <c r="BH230" s="26" t="s">
        <v>74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5" t="s">
        <v>74</v>
      </c>
      <c r="BR230" s="25"/>
      <c r="BS230" s="25"/>
      <c r="BT230" s="27" t="s">
        <v>74</v>
      </c>
    </row>
    <row r="231" spans="1:72" s="1" customFormat="1" ht="24" customHeight="1">
      <c r="A231" s="16" t="s">
        <v>411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412</v>
      </c>
      <c r="N231" s="23"/>
      <c r="O231" s="23"/>
      <c r="P231" s="23" t="s">
        <v>73</v>
      </c>
      <c r="Q231" s="23"/>
      <c r="R231" s="23"/>
      <c r="S231" s="23"/>
      <c r="T231" s="23"/>
      <c r="U231" s="25" t="s">
        <v>74</v>
      </c>
      <c r="V231" s="25"/>
      <c r="W231" s="25"/>
      <c r="X231" s="25" t="s">
        <v>74</v>
      </c>
      <c r="Y231" s="25"/>
      <c r="Z231" s="25"/>
      <c r="AA231" s="25"/>
      <c r="AB231" s="25" t="s">
        <v>74</v>
      </c>
      <c r="AC231" s="25"/>
      <c r="AD231" s="25"/>
      <c r="AE231" s="26" t="s">
        <v>74</v>
      </c>
      <c r="AF231" s="26" t="s">
        <v>74</v>
      </c>
      <c r="AG231" s="25" t="s">
        <v>74</v>
      </c>
      <c r="AH231" s="25"/>
      <c r="AI231" s="25"/>
      <c r="AJ231" s="25" t="s">
        <v>74</v>
      </c>
      <c r="AK231" s="25"/>
      <c r="AL231" s="25" t="s">
        <v>74</v>
      </c>
      <c r="AM231" s="25"/>
      <c r="AN231" s="25" t="s">
        <v>74</v>
      </c>
      <c r="AO231" s="25"/>
      <c r="AP231" s="25" t="s">
        <v>74</v>
      </c>
      <c r="AQ231" s="25"/>
      <c r="AR231" s="25"/>
      <c r="AS231" s="26" t="s">
        <v>74</v>
      </c>
      <c r="AT231" s="25" t="s">
        <v>74</v>
      </c>
      <c r="AU231" s="25"/>
      <c r="AV231" s="25"/>
      <c r="AW231" s="25" t="s">
        <v>74</v>
      </c>
      <c r="AX231" s="25"/>
      <c r="AY231" s="25" t="s">
        <v>74</v>
      </c>
      <c r="AZ231" s="25"/>
      <c r="BA231" s="25" t="s">
        <v>74</v>
      </c>
      <c r="BB231" s="25"/>
      <c r="BC231" s="25"/>
      <c r="BD231" s="25" t="s">
        <v>74</v>
      </c>
      <c r="BE231" s="25"/>
      <c r="BF231" s="25" t="s">
        <v>74</v>
      </c>
      <c r="BG231" s="25"/>
      <c r="BH231" s="26" t="s">
        <v>74</v>
      </c>
      <c r="BI231" s="26" t="s">
        <v>74</v>
      </c>
      <c r="BJ231" s="26" t="s">
        <v>74</v>
      </c>
      <c r="BK231" s="26" t="s">
        <v>74</v>
      </c>
      <c r="BL231" s="26" t="s">
        <v>74</v>
      </c>
      <c r="BM231" s="26" t="s">
        <v>74</v>
      </c>
      <c r="BN231" s="26" t="s">
        <v>74</v>
      </c>
      <c r="BO231" s="26" t="s">
        <v>74</v>
      </c>
      <c r="BP231" s="26" t="s">
        <v>74</v>
      </c>
      <c r="BQ231" s="25" t="s">
        <v>74</v>
      </c>
      <c r="BR231" s="25"/>
      <c r="BS231" s="25"/>
      <c r="BT231" s="27" t="s">
        <v>74</v>
      </c>
    </row>
    <row r="232" spans="1:72" s="1" customFormat="1" ht="13.5" customHeight="1">
      <c r="A232" s="16" t="s">
        <v>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412</v>
      </c>
      <c r="N232" s="23"/>
      <c r="O232" s="23"/>
      <c r="P232" s="23" t="s">
        <v>9</v>
      </c>
      <c r="Q232" s="23"/>
      <c r="R232" s="23"/>
      <c r="S232" s="23"/>
      <c r="T232" s="23"/>
      <c r="U232" s="25" t="s">
        <v>74</v>
      </c>
      <c r="V232" s="25"/>
      <c r="W232" s="25"/>
      <c r="X232" s="25" t="s">
        <v>74</v>
      </c>
      <c r="Y232" s="25"/>
      <c r="Z232" s="25"/>
      <c r="AA232" s="25"/>
      <c r="AB232" s="25" t="s">
        <v>74</v>
      </c>
      <c r="AC232" s="25"/>
      <c r="AD232" s="25"/>
      <c r="AE232" s="26" t="s">
        <v>74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5" t="s">
        <v>74</v>
      </c>
      <c r="AX232" s="25"/>
      <c r="AY232" s="25" t="s">
        <v>74</v>
      </c>
      <c r="AZ232" s="25"/>
      <c r="BA232" s="25" t="s">
        <v>74</v>
      </c>
      <c r="BB232" s="25"/>
      <c r="BC232" s="25"/>
      <c r="BD232" s="25" t="s">
        <v>74</v>
      </c>
      <c r="BE232" s="25"/>
      <c r="BF232" s="25" t="s">
        <v>74</v>
      </c>
      <c r="BG232" s="25"/>
      <c r="BH232" s="26" t="s">
        <v>74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5" t="s">
        <v>74</v>
      </c>
      <c r="BR232" s="25"/>
      <c r="BS232" s="25"/>
      <c r="BT232" s="27" t="s">
        <v>74</v>
      </c>
    </row>
    <row r="233" spans="1:72" s="1" customFormat="1" ht="13.5" customHeight="1">
      <c r="A233" s="16" t="s">
        <v>413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414</v>
      </c>
      <c r="N233" s="23"/>
      <c r="O233" s="23"/>
      <c r="P233" s="23" t="s">
        <v>415</v>
      </c>
      <c r="Q233" s="23"/>
      <c r="R233" s="23"/>
      <c r="S233" s="23"/>
      <c r="T233" s="23"/>
      <c r="U233" s="24">
        <f>34852121.43</f>
        <v>34852121.43</v>
      </c>
      <c r="V233" s="24"/>
      <c r="W233" s="24"/>
      <c r="X233" s="25" t="s">
        <v>74</v>
      </c>
      <c r="Y233" s="25"/>
      <c r="Z233" s="25"/>
      <c r="AA233" s="25"/>
      <c r="AB233" s="24">
        <f>34852121.43</f>
        <v>34852121.43</v>
      </c>
      <c r="AC233" s="24"/>
      <c r="AD233" s="24"/>
      <c r="AE233" s="28">
        <f>-29635157.77</f>
        <v>-29635157.77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4">
        <f>5216963.66</f>
        <v>5216963.66</v>
      </c>
      <c r="AX233" s="24"/>
      <c r="AY233" s="25" t="s">
        <v>74</v>
      </c>
      <c r="AZ233" s="25"/>
      <c r="BA233" s="24">
        <f>25836823.22</f>
        <v>25836823.22</v>
      </c>
      <c r="BB233" s="24"/>
      <c r="BC233" s="24"/>
      <c r="BD233" s="25" t="s">
        <v>74</v>
      </c>
      <c r="BE233" s="25"/>
      <c r="BF233" s="24">
        <f>25836823.22</f>
        <v>25836823.22</v>
      </c>
      <c r="BG233" s="24"/>
      <c r="BH233" s="28">
        <f>-24045309.72</f>
        <v>-24045309.72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4">
        <f>1791513.5</f>
        <v>1791513.5</v>
      </c>
      <c r="BR233" s="24"/>
      <c r="BS233" s="24"/>
      <c r="BT233" s="27" t="s">
        <v>74</v>
      </c>
    </row>
    <row r="234" spans="1:72" s="1" customFormat="1" ht="13.5" customHeight="1">
      <c r="A234" s="16" t="s">
        <v>416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417</v>
      </c>
      <c r="N234" s="23"/>
      <c r="O234" s="23"/>
      <c r="P234" s="23" t="s">
        <v>418</v>
      </c>
      <c r="Q234" s="23"/>
      <c r="R234" s="23"/>
      <c r="S234" s="23"/>
      <c r="T234" s="23"/>
      <c r="U234" s="24">
        <f>-13925000</f>
        <v>-13925000</v>
      </c>
      <c r="V234" s="24"/>
      <c r="W234" s="24"/>
      <c r="X234" s="25" t="s">
        <v>74</v>
      </c>
      <c r="Y234" s="25"/>
      <c r="Z234" s="25"/>
      <c r="AA234" s="25"/>
      <c r="AB234" s="24">
        <f>-13925000</f>
        <v>-13925000</v>
      </c>
      <c r="AC234" s="24"/>
      <c r="AD234" s="24"/>
      <c r="AE234" s="28">
        <f>-39466685</f>
        <v>-39466685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4">
        <f>-53391685</f>
        <v>-53391685</v>
      </c>
      <c r="AX234" s="24"/>
      <c r="AY234" s="25" t="s">
        <v>74</v>
      </c>
      <c r="AZ234" s="25"/>
      <c r="BA234" s="24">
        <f>-9386471.46</f>
        <v>-9386471.46</v>
      </c>
      <c r="BB234" s="24"/>
      <c r="BC234" s="24"/>
      <c r="BD234" s="25" t="s">
        <v>74</v>
      </c>
      <c r="BE234" s="25"/>
      <c r="BF234" s="24">
        <f>-9386471.46</f>
        <v>-9386471.46</v>
      </c>
      <c r="BG234" s="24"/>
      <c r="BH234" s="28">
        <f>-24596104.34</f>
        <v>-24596104.34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4">
        <f>-33982575.8</f>
        <v>-33982575.8</v>
      </c>
      <c r="BR234" s="24"/>
      <c r="BS234" s="24"/>
      <c r="BT234" s="27" t="s">
        <v>74</v>
      </c>
    </row>
    <row r="235" spans="1:72" s="1" customFormat="1" ht="13.5" customHeight="1">
      <c r="A235" s="16" t="s">
        <v>419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417</v>
      </c>
      <c r="N235" s="23"/>
      <c r="O235" s="23"/>
      <c r="P235" s="23" t="s">
        <v>420</v>
      </c>
      <c r="Q235" s="23"/>
      <c r="R235" s="23"/>
      <c r="S235" s="23"/>
      <c r="T235" s="23"/>
      <c r="U235" s="24">
        <f>-13925000</f>
        <v>-13925000</v>
      </c>
      <c r="V235" s="24"/>
      <c r="W235" s="24"/>
      <c r="X235" s="25" t="s">
        <v>74</v>
      </c>
      <c r="Y235" s="25"/>
      <c r="Z235" s="25"/>
      <c r="AA235" s="25"/>
      <c r="AB235" s="24">
        <f>-13925000</f>
        <v>-13925000</v>
      </c>
      <c r="AC235" s="24"/>
      <c r="AD235" s="24"/>
      <c r="AE235" s="28">
        <f>-39466685</f>
        <v>-39466685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4">
        <f>-53391685</f>
        <v>-53391685</v>
      </c>
      <c r="AX235" s="24"/>
      <c r="AY235" s="25" t="s">
        <v>74</v>
      </c>
      <c r="AZ235" s="25"/>
      <c r="BA235" s="24">
        <f>-9386471.46</f>
        <v>-9386471.46</v>
      </c>
      <c r="BB235" s="24"/>
      <c r="BC235" s="24"/>
      <c r="BD235" s="25" t="s">
        <v>74</v>
      </c>
      <c r="BE235" s="25"/>
      <c r="BF235" s="24">
        <f>-9386471.46</f>
        <v>-9386471.46</v>
      </c>
      <c r="BG235" s="24"/>
      <c r="BH235" s="28">
        <f>-24596104.34</f>
        <v>-24596104.34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4">
        <f>-33982575.8</f>
        <v>-33982575.8</v>
      </c>
      <c r="BR235" s="24"/>
      <c r="BS235" s="24"/>
      <c r="BT235" s="27" t="s">
        <v>74</v>
      </c>
    </row>
    <row r="236" spans="1:72" s="1" customFormat="1" ht="24" customHeight="1">
      <c r="A236" s="16" t="s">
        <v>421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417</v>
      </c>
      <c r="N236" s="23"/>
      <c r="O236" s="23"/>
      <c r="P236" s="23" t="s">
        <v>422</v>
      </c>
      <c r="Q236" s="23"/>
      <c r="R236" s="23"/>
      <c r="S236" s="23"/>
      <c r="T236" s="23"/>
      <c r="U236" s="24">
        <f>-13925000</f>
        <v>-13925000</v>
      </c>
      <c r="V236" s="24"/>
      <c r="W236" s="24"/>
      <c r="X236" s="25" t="s">
        <v>74</v>
      </c>
      <c r="Y236" s="25"/>
      <c r="Z236" s="25"/>
      <c r="AA236" s="25"/>
      <c r="AB236" s="24">
        <f>-13925000</f>
        <v>-13925000</v>
      </c>
      <c r="AC236" s="24"/>
      <c r="AD236" s="24"/>
      <c r="AE236" s="28">
        <f>-39466685</f>
        <v>-39466685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-53391685</f>
        <v>-53391685</v>
      </c>
      <c r="AX236" s="24"/>
      <c r="AY236" s="25" t="s">
        <v>74</v>
      </c>
      <c r="AZ236" s="25"/>
      <c r="BA236" s="24">
        <f>-9386471.46</f>
        <v>-9386471.46</v>
      </c>
      <c r="BB236" s="24"/>
      <c r="BC236" s="24"/>
      <c r="BD236" s="25" t="s">
        <v>74</v>
      </c>
      <c r="BE236" s="25"/>
      <c r="BF236" s="24">
        <f>-9386471.46</f>
        <v>-9386471.46</v>
      </c>
      <c r="BG236" s="24"/>
      <c r="BH236" s="28">
        <f>-24596104.34</f>
        <v>-24596104.34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-33982575.8</f>
        <v>-33982575.8</v>
      </c>
      <c r="BR236" s="24"/>
      <c r="BS236" s="24"/>
      <c r="BT236" s="27" t="s">
        <v>74</v>
      </c>
    </row>
    <row r="237" spans="1:72" s="1" customFormat="1" ht="24" customHeight="1">
      <c r="A237" s="16" t="s">
        <v>423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417</v>
      </c>
      <c r="N237" s="23"/>
      <c r="O237" s="23"/>
      <c r="P237" s="23" t="s">
        <v>424</v>
      </c>
      <c r="Q237" s="23"/>
      <c r="R237" s="23"/>
      <c r="S237" s="23"/>
      <c r="T237" s="23"/>
      <c r="U237" s="24">
        <f>-13925000</f>
        <v>-13925000</v>
      </c>
      <c r="V237" s="24"/>
      <c r="W237" s="24"/>
      <c r="X237" s="25" t="s">
        <v>74</v>
      </c>
      <c r="Y237" s="25"/>
      <c r="Z237" s="25"/>
      <c r="AA237" s="25"/>
      <c r="AB237" s="24">
        <f>-13925000</f>
        <v>-13925000</v>
      </c>
      <c r="AC237" s="24"/>
      <c r="AD237" s="24"/>
      <c r="AE237" s="28">
        <f>-39466685</f>
        <v>-39466685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-53391685</f>
        <v>-53391685</v>
      </c>
      <c r="AX237" s="24"/>
      <c r="AY237" s="25" t="s">
        <v>74</v>
      </c>
      <c r="AZ237" s="25"/>
      <c r="BA237" s="24">
        <f>-9386471.46</f>
        <v>-9386471.46</v>
      </c>
      <c r="BB237" s="24"/>
      <c r="BC237" s="24"/>
      <c r="BD237" s="25" t="s">
        <v>74</v>
      </c>
      <c r="BE237" s="25"/>
      <c r="BF237" s="24">
        <f>-9386471.46</f>
        <v>-9386471.46</v>
      </c>
      <c r="BG237" s="24"/>
      <c r="BH237" s="28">
        <f>-24596104.34</f>
        <v>-24596104.34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-33982575.8</f>
        <v>-33982575.8</v>
      </c>
      <c r="BR237" s="24"/>
      <c r="BS237" s="24"/>
      <c r="BT237" s="27" t="s">
        <v>74</v>
      </c>
    </row>
    <row r="238" spans="1:72" s="1" customFormat="1" ht="13.5" customHeight="1">
      <c r="A238" s="16" t="s">
        <v>425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426</v>
      </c>
      <c r="N238" s="23"/>
      <c r="O238" s="23"/>
      <c r="P238" s="23" t="s">
        <v>427</v>
      </c>
      <c r="Q238" s="23"/>
      <c r="R238" s="23"/>
      <c r="S238" s="23"/>
      <c r="T238" s="23"/>
      <c r="U238" s="24">
        <f>48777121.43</f>
        <v>48777121.43</v>
      </c>
      <c r="V238" s="24"/>
      <c r="W238" s="24"/>
      <c r="X238" s="25" t="s">
        <v>74</v>
      </c>
      <c r="Y238" s="25"/>
      <c r="Z238" s="25"/>
      <c r="AA238" s="25"/>
      <c r="AB238" s="24">
        <f>48777121.43</f>
        <v>48777121.43</v>
      </c>
      <c r="AC238" s="24"/>
      <c r="AD238" s="24"/>
      <c r="AE238" s="28">
        <f>9831527.23</f>
        <v>9831527.23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58608648.66</f>
        <v>58608648.66</v>
      </c>
      <c r="AX238" s="24"/>
      <c r="AY238" s="25" t="s">
        <v>74</v>
      </c>
      <c r="AZ238" s="25"/>
      <c r="BA238" s="24">
        <f>35223294.68</f>
        <v>35223294.68</v>
      </c>
      <c r="BB238" s="24"/>
      <c r="BC238" s="24"/>
      <c r="BD238" s="25" t="s">
        <v>74</v>
      </c>
      <c r="BE238" s="25"/>
      <c r="BF238" s="24">
        <f>35223294.68</f>
        <v>35223294.68</v>
      </c>
      <c r="BG238" s="24"/>
      <c r="BH238" s="28">
        <f>550794.62</f>
        <v>550794.62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35774089.3</f>
        <v>35774089.3</v>
      </c>
      <c r="BR238" s="24"/>
      <c r="BS238" s="24"/>
      <c r="BT238" s="27" t="s">
        <v>74</v>
      </c>
    </row>
    <row r="239" spans="1:72" s="1" customFormat="1" ht="13.5" customHeight="1">
      <c r="A239" s="16" t="s">
        <v>428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426</v>
      </c>
      <c r="N239" s="23"/>
      <c r="O239" s="23"/>
      <c r="P239" s="23" t="s">
        <v>429</v>
      </c>
      <c r="Q239" s="23"/>
      <c r="R239" s="23"/>
      <c r="S239" s="23"/>
      <c r="T239" s="23"/>
      <c r="U239" s="24">
        <f>48777121.43</f>
        <v>48777121.43</v>
      </c>
      <c r="V239" s="24"/>
      <c r="W239" s="24"/>
      <c r="X239" s="25" t="s">
        <v>74</v>
      </c>
      <c r="Y239" s="25"/>
      <c r="Z239" s="25"/>
      <c r="AA239" s="25"/>
      <c r="AB239" s="24">
        <f>48777121.43</f>
        <v>48777121.43</v>
      </c>
      <c r="AC239" s="24"/>
      <c r="AD239" s="24"/>
      <c r="AE239" s="28">
        <f>9831527.23</f>
        <v>9831527.23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58608648.66</f>
        <v>58608648.66</v>
      </c>
      <c r="AX239" s="24"/>
      <c r="AY239" s="25" t="s">
        <v>74</v>
      </c>
      <c r="AZ239" s="25"/>
      <c r="BA239" s="24">
        <f>35223294.68</f>
        <v>35223294.68</v>
      </c>
      <c r="BB239" s="24"/>
      <c r="BC239" s="24"/>
      <c r="BD239" s="25" t="s">
        <v>74</v>
      </c>
      <c r="BE239" s="25"/>
      <c r="BF239" s="24">
        <f>35223294.68</f>
        <v>35223294.68</v>
      </c>
      <c r="BG239" s="24"/>
      <c r="BH239" s="28">
        <f>550794.62</f>
        <v>550794.62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35774089.3</f>
        <v>35774089.3</v>
      </c>
      <c r="BR239" s="24"/>
      <c r="BS239" s="24"/>
      <c r="BT239" s="27" t="s">
        <v>74</v>
      </c>
    </row>
    <row r="240" spans="1:72" s="1" customFormat="1" ht="24" customHeight="1">
      <c r="A240" s="16" t="s">
        <v>430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426</v>
      </c>
      <c r="N240" s="23"/>
      <c r="O240" s="23"/>
      <c r="P240" s="23" t="s">
        <v>431</v>
      </c>
      <c r="Q240" s="23"/>
      <c r="R240" s="23"/>
      <c r="S240" s="23"/>
      <c r="T240" s="23"/>
      <c r="U240" s="24">
        <f>48777121.43</f>
        <v>48777121.43</v>
      </c>
      <c r="V240" s="24"/>
      <c r="W240" s="24"/>
      <c r="X240" s="25" t="s">
        <v>74</v>
      </c>
      <c r="Y240" s="25"/>
      <c r="Z240" s="25"/>
      <c r="AA240" s="25"/>
      <c r="AB240" s="24">
        <f>48777121.43</f>
        <v>48777121.43</v>
      </c>
      <c r="AC240" s="24"/>
      <c r="AD240" s="24"/>
      <c r="AE240" s="28">
        <f>9831527.23</f>
        <v>9831527.23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58608648.66</f>
        <v>58608648.66</v>
      </c>
      <c r="AX240" s="24"/>
      <c r="AY240" s="25" t="s">
        <v>74</v>
      </c>
      <c r="AZ240" s="25"/>
      <c r="BA240" s="24">
        <f>35223294.68</f>
        <v>35223294.68</v>
      </c>
      <c r="BB240" s="24"/>
      <c r="BC240" s="24"/>
      <c r="BD240" s="25" t="s">
        <v>74</v>
      </c>
      <c r="BE240" s="25"/>
      <c r="BF240" s="24">
        <f>35223294.68</f>
        <v>35223294.68</v>
      </c>
      <c r="BG240" s="24"/>
      <c r="BH240" s="28">
        <f>550794.62</f>
        <v>550794.62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35774089.3</f>
        <v>35774089.3</v>
      </c>
      <c r="BR240" s="24"/>
      <c r="BS240" s="24"/>
      <c r="BT240" s="27" t="s">
        <v>74</v>
      </c>
    </row>
    <row r="241" spans="1:72" s="1" customFormat="1" ht="24" customHeight="1">
      <c r="A241" s="16" t="s">
        <v>432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426</v>
      </c>
      <c r="N241" s="23"/>
      <c r="O241" s="23"/>
      <c r="P241" s="23" t="s">
        <v>433</v>
      </c>
      <c r="Q241" s="23"/>
      <c r="R241" s="23"/>
      <c r="S241" s="23"/>
      <c r="T241" s="23"/>
      <c r="U241" s="24">
        <f>48777121.43</f>
        <v>48777121.43</v>
      </c>
      <c r="V241" s="24"/>
      <c r="W241" s="24"/>
      <c r="X241" s="25" t="s">
        <v>74</v>
      </c>
      <c r="Y241" s="25"/>
      <c r="Z241" s="25"/>
      <c r="AA241" s="25"/>
      <c r="AB241" s="24">
        <f>48777121.43</f>
        <v>48777121.43</v>
      </c>
      <c r="AC241" s="24"/>
      <c r="AD241" s="24"/>
      <c r="AE241" s="28">
        <f>9831527.23</f>
        <v>9831527.23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58608648.66</f>
        <v>58608648.66</v>
      </c>
      <c r="AX241" s="24"/>
      <c r="AY241" s="25" t="s">
        <v>74</v>
      </c>
      <c r="AZ241" s="25"/>
      <c r="BA241" s="24">
        <f>35223294.68</f>
        <v>35223294.68</v>
      </c>
      <c r="BB241" s="24"/>
      <c r="BC241" s="24"/>
      <c r="BD241" s="25" t="s">
        <v>74</v>
      </c>
      <c r="BE241" s="25"/>
      <c r="BF241" s="24">
        <f>35223294.68</f>
        <v>35223294.68</v>
      </c>
      <c r="BG241" s="24"/>
      <c r="BH241" s="28">
        <f>550794.62</f>
        <v>550794.62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35774089.3</f>
        <v>35774089.3</v>
      </c>
      <c r="BR241" s="24"/>
      <c r="BS241" s="24"/>
      <c r="BT241" s="27" t="s">
        <v>74</v>
      </c>
    </row>
    <row r="242" spans="1:72" s="1" customFormat="1" ht="13.5" customHeight="1">
      <c r="A242" s="29" t="s">
        <v>9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0" t="s">
        <v>9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</row>
    <row r="243" spans="1:72" s="1" customFormat="1" ht="15.75" customHeight="1">
      <c r="A243" s="12" t="s">
        <v>434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</row>
    <row r="244" spans="1:72" s="1" customFormat="1" ht="13.5" customHeight="1">
      <c r="A244" s="39" t="s">
        <v>435</v>
      </c>
      <c r="B244" s="3" t="s">
        <v>21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 t="s">
        <v>22</v>
      </c>
      <c r="W244" s="3"/>
      <c r="X244" s="3"/>
      <c r="Y244" s="40" t="s">
        <v>436</v>
      </c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3" t="s">
        <v>439</v>
      </c>
      <c r="BF244" s="3"/>
      <c r="BG244" s="29" t="s">
        <v>9</v>
      </c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66" customHeight="1">
      <c r="A245" s="3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 t="s">
        <v>29</v>
      </c>
      <c r="Z245" s="3"/>
      <c r="AA245" s="3"/>
      <c r="AB245" s="3"/>
      <c r="AC245" s="3" t="s">
        <v>30</v>
      </c>
      <c r="AD245" s="3"/>
      <c r="AE245" s="3"/>
      <c r="AF245" s="3" t="s">
        <v>31</v>
      </c>
      <c r="AG245" s="3"/>
      <c r="AH245" s="3"/>
      <c r="AI245" s="3" t="s">
        <v>32</v>
      </c>
      <c r="AJ245" s="3"/>
      <c r="AK245" s="3" t="s">
        <v>33</v>
      </c>
      <c r="AL245" s="3"/>
      <c r="AM245" s="3"/>
      <c r="AN245" s="3"/>
      <c r="AO245" s="3" t="s">
        <v>34</v>
      </c>
      <c r="AP245" s="3"/>
      <c r="AQ245" s="3"/>
      <c r="AR245" s="3" t="s">
        <v>35</v>
      </c>
      <c r="AS245" s="3"/>
      <c r="AT245" s="3"/>
      <c r="AU245" s="3" t="s">
        <v>36</v>
      </c>
      <c r="AV245" s="3"/>
      <c r="AW245" s="3"/>
      <c r="AX245" s="3" t="s">
        <v>437</v>
      </c>
      <c r="AY245" s="3"/>
      <c r="AZ245" s="3" t="s">
        <v>438</v>
      </c>
      <c r="BA245" s="3"/>
      <c r="BB245" s="3"/>
      <c r="BC245" s="3"/>
      <c r="BD245" s="3"/>
      <c r="BE245" s="3"/>
      <c r="BF245" s="3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23" t="s">
        <v>40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 t="s">
        <v>41</v>
      </c>
      <c r="W246" s="23"/>
      <c r="X246" s="23"/>
      <c r="Y246" s="23" t="s">
        <v>42</v>
      </c>
      <c r="Z246" s="23"/>
      <c r="AA246" s="23"/>
      <c r="AB246" s="23"/>
      <c r="AC246" s="23" t="s">
        <v>43</v>
      </c>
      <c r="AD246" s="23"/>
      <c r="AE246" s="23"/>
      <c r="AF246" s="23" t="s">
        <v>44</v>
      </c>
      <c r="AG246" s="23"/>
      <c r="AH246" s="23"/>
      <c r="AI246" s="23" t="s">
        <v>45</v>
      </c>
      <c r="AJ246" s="23"/>
      <c r="AK246" s="23" t="s">
        <v>46</v>
      </c>
      <c r="AL246" s="23"/>
      <c r="AM246" s="23"/>
      <c r="AN246" s="23"/>
      <c r="AO246" s="23" t="s">
        <v>47</v>
      </c>
      <c r="AP246" s="23"/>
      <c r="AQ246" s="23"/>
      <c r="AR246" s="23" t="s">
        <v>48</v>
      </c>
      <c r="AS246" s="23"/>
      <c r="AT246" s="23"/>
      <c r="AU246" s="23" t="s">
        <v>49</v>
      </c>
      <c r="AV246" s="23"/>
      <c r="AW246" s="23"/>
      <c r="AX246" s="23" t="s">
        <v>50</v>
      </c>
      <c r="AY246" s="23"/>
      <c r="AZ246" s="23" t="s">
        <v>51</v>
      </c>
      <c r="BA246" s="23"/>
      <c r="BB246" s="23"/>
      <c r="BC246" s="23"/>
      <c r="BD246" s="23"/>
      <c r="BE246" s="23" t="s">
        <v>52</v>
      </c>
      <c r="BF246" s="23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41" t="s">
        <v>440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2" t="s">
        <v>441</v>
      </c>
      <c r="W247" s="42"/>
      <c r="X247" s="42"/>
      <c r="Y247" s="19" t="s">
        <v>74</v>
      </c>
      <c r="Z247" s="19"/>
      <c r="AA247" s="19"/>
      <c r="AB247" s="19"/>
      <c r="AC247" s="19" t="s">
        <v>74</v>
      </c>
      <c r="AD247" s="19"/>
      <c r="AE247" s="19"/>
      <c r="AF247" s="19" t="s">
        <v>74</v>
      </c>
      <c r="AG247" s="19"/>
      <c r="AH247" s="19"/>
      <c r="AI247" s="19" t="s">
        <v>74</v>
      </c>
      <c r="AJ247" s="19"/>
      <c r="AK247" s="19" t="s">
        <v>74</v>
      </c>
      <c r="AL247" s="19"/>
      <c r="AM247" s="19"/>
      <c r="AN247" s="19"/>
      <c r="AO247" s="19" t="s">
        <v>74</v>
      </c>
      <c r="AP247" s="19"/>
      <c r="AQ247" s="19"/>
      <c r="AR247" s="18">
        <f>550794.62</f>
        <v>550794.62</v>
      </c>
      <c r="AS247" s="18"/>
      <c r="AT247" s="18"/>
      <c r="AU247" s="19" t="s">
        <v>74</v>
      </c>
      <c r="AV247" s="19"/>
      <c r="AW247" s="19"/>
      <c r="AX247" s="19" t="s">
        <v>74</v>
      </c>
      <c r="AY247" s="19"/>
      <c r="AZ247" s="19" t="s">
        <v>74</v>
      </c>
      <c r="BA247" s="19"/>
      <c r="BB247" s="19"/>
      <c r="BC247" s="19"/>
      <c r="BD247" s="19"/>
      <c r="BE247" s="43">
        <f>550794.62</f>
        <v>550794.62</v>
      </c>
      <c r="BF247" s="43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44" t="s">
        <v>442</v>
      </c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5" t="s">
        <v>443</v>
      </c>
      <c r="W248" s="45"/>
      <c r="X248" s="45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47" t="s">
        <v>444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8" t="s">
        <v>9</v>
      </c>
      <c r="W249" s="48"/>
      <c r="X249" s="48"/>
      <c r="Y249" s="49" t="s">
        <v>9</v>
      </c>
      <c r="Z249" s="49"/>
      <c r="AA249" s="49"/>
      <c r="AB249" s="49"/>
      <c r="AC249" s="49" t="s">
        <v>9</v>
      </c>
      <c r="AD249" s="49"/>
      <c r="AE249" s="49"/>
      <c r="AF249" s="49" t="s">
        <v>9</v>
      </c>
      <c r="AG249" s="49"/>
      <c r="AH249" s="49"/>
      <c r="AI249" s="49" t="s">
        <v>9</v>
      </c>
      <c r="AJ249" s="49"/>
      <c r="AK249" s="49" t="s">
        <v>9</v>
      </c>
      <c r="AL249" s="49"/>
      <c r="AM249" s="49"/>
      <c r="AN249" s="49"/>
      <c r="AO249" s="49" t="s">
        <v>9</v>
      </c>
      <c r="AP249" s="49"/>
      <c r="AQ249" s="49"/>
      <c r="AR249" s="49" t="s">
        <v>9</v>
      </c>
      <c r="AS249" s="49"/>
      <c r="AT249" s="49"/>
      <c r="AU249" s="49" t="s">
        <v>9</v>
      </c>
      <c r="AV249" s="49"/>
      <c r="AW249" s="49"/>
      <c r="AX249" s="49" t="s">
        <v>9</v>
      </c>
      <c r="AY249" s="49"/>
      <c r="AZ249" s="49" t="s">
        <v>9</v>
      </c>
      <c r="BA249" s="49"/>
      <c r="BB249" s="49"/>
      <c r="BC249" s="49"/>
      <c r="BD249" s="49"/>
      <c r="BE249" s="50" t="s">
        <v>9</v>
      </c>
      <c r="BF249" s="50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1" t="s">
        <v>9</v>
      </c>
      <c r="C250" s="52" t="s">
        <v>445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3" t="s">
        <v>446</v>
      </c>
      <c r="W250" s="53"/>
      <c r="X250" s="53"/>
      <c r="Y250" s="54" t="s">
        <v>74</v>
      </c>
      <c r="Z250" s="54"/>
      <c r="AA250" s="54"/>
      <c r="AB250" s="54"/>
      <c r="AC250" s="54" t="s">
        <v>74</v>
      </c>
      <c r="AD250" s="54"/>
      <c r="AE250" s="54"/>
      <c r="AF250" s="54" t="s">
        <v>74</v>
      </c>
      <c r="AG250" s="54"/>
      <c r="AH250" s="54"/>
      <c r="AI250" s="54" t="s">
        <v>74</v>
      </c>
      <c r="AJ250" s="54"/>
      <c r="AK250" s="54" t="s">
        <v>74</v>
      </c>
      <c r="AL250" s="54"/>
      <c r="AM250" s="54"/>
      <c r="AN250" s="54"/>
      <c r="AO250" s="54" t="s">
        <v>74</v>
      </c>
      <c r="AP250" s="54"/>
      <c r="AQ250" s="54"/>
      <c r="AR250" s="54" t="s">
        <v>74</v>
      </c>
      <c r="AS250" s="54"/>
      <c r="AT250" s="54"/>
      <c r="AU250" s="54" t="s">
        <v>74</v>
      </c>
      <c r="AV250" s="54"/>
      <c r="AW250" s="54"/>
      <c r="AX250" s="54" t="s">
        <v>74</v>
      </c>
      <c r="AY250" s="54"/>
      <c r="AZ250" s="54" t="s">
        <v>74</v>
      </c>
      <c r="BA250" s="54"/>
      <c r="BB250" s="54"/>
      <c r="BC250" s="54"/>
      <c r="BD250" s="54"/>
      <c r="BE250" s="55" t="s">
        <v>74</v>
      </c>
      <c r="BF250" s="55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447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448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56" t="s">
        <v>9</v>
      </c>
      <c r="C252" s="57" t="s">
        <v>449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450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198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451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452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453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24" customHeight="1">
      <c r="A255" s="39"/>
      <c r="B255" s="56" t="s">
        <v>9</v>
      </c>
      <c r="C255" s="57" t="s">
        <v>454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455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24" customHeight="1">
      <c r="A256" s="39"/>
      <c r="B256" s="56" t="s">
        <v>9</v>
      </c>
      <c r="C256" s="57" t="s">
        <v>456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457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458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459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56" t="s">
        <v>9</v>
      </c>
      <c r="C258" s="57" t="s">
        <v>460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461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44" t="s">
        <v>462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5" t="s">
        <v>463</v>
      </c>
      <c r="W259" s="45"/>
      <c r="X259" s="45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47" t="s">
        <v>444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8" t="s">
        <v>9</v>
      </c>
      <c r="W260" s="48"/>
      <c r="X260" s="48"/>
      <c r="Y260" s="49" t="s">
        <v>9</v>
      </c>
      <c r="Z260" s="49"/>
      <c r="AA260" s="49"/>
      <c r="AB260" s="49"/>
      <c r="AC260" s="49" t="s">
        <v>9</v>
      </c>
      <c r="AD260" s="49"/>
      <c r="AE260" s="49"/>
      <c r="AF260" s="49" t="s">
        <v>9</v>
      </c>
      <c r="AG260" s="49"/>
      <c r="AH260" s="49"/>
      <c r="AI260" s="49" t="s">
        <v>9</v>
      </c>
      <c r="AJ260" s="49"/>
      <c r="AK260" s="49" t="s">
        <v>9</v>
      </c>
      <c r="AL260" s="49"/>
      <c r="AM260" s="49"/>
      <c r="AN260" s="49"/>
      <c r="AO260" s="49" t="s">
        <v>9</v>
      </c>
      <c r="AP260" s="49"/>
      <c r="AQ260" s="49"/>
      <c r="AR260" s="49" t="s">
        <v>9</v>
      </c>
      <c r="AS260" s="49"/>
      <c r="AT260" s="49"/>
      <c r="AU260" s="49" t="s">
        <v>9</v>
      </c>
      <c r="AV260" s="49"/>
      <c r="AW260" s="49"/>
      <c r="AX260" s="49" t="s">
        <v>9</v>
      </c>
      <c r="AY260" s="49"/>
      <c r="AZ260" s="49" t="s">
        <v>9</v>
      </c>
      <c r="BA260" s="49"/>
      <c r="BB260" s="49"/>
      <c r="BC260" s="49"/>
      <c r="BD260" s="49"/>
      <c r="BE260" s="50" t="s">
        <v>9</v>
      </c>
      <c r="BF260" s="50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1" t="s">
        <v>9</v>
      </c>
      <c r="C261" s="52" t="s">
        <v>445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3" t="s">
        <v>464</v>
      </c>
      <c r="W261" s="53"/>
      <c r="X261" s="53"/>
      <c r="Y261" s="54" t="s">
        <v>74</v>
      </c>
      <c r="Z261" s="54"/>
      <c r="AA261" s="54"/>
      <c r="AB261" s="54"/>
      <c r="AC261" s="54" t="s">
        <v>74</v>
      </c>
      <c r="AD261" s="54"/>
      <c r="AE261" s="54"/>
      <c r="AF261" s="54" t="s">
        <v>74</v>
      </c>
      <c r="AG261" s="54"/>
      <c r="AH261" s="54"/>
      <c r="AI261" s="54" t="s">
        <v>74</v>
      </c>
      <c r="AJ261" s="54"/>
      <c r="AK261" s="54" t="s">
        <v>74</v>
      </c>
      <c r="AL261" s="54"/>
      <c r="AM261" s="54"/>
      <c r="AN261" s="54"/>
      <c r="AO261" s="54" t="s">
        <v>74</v>
      </c>
      <c r="AP261" s="54"/>
      <c r="AQ261" s="54"/>
      <c r="AR261" s="54" t="s">
        <v>74</v>
      </c>
      <c r="AS261" s="54"/>
      <c r="AT261" s="54"/>
      <c r="AU261" s="54" t="s">
        <v>74</v>
      </c>
      <c r="AV261" s="54"/>
      <c r="AW261" s="54"/>
      <c r="AX261" s="54" t="s">
        <v>74</v>
      </c>
      <c r="AY261" s="54"/>
      <c r="AZ261" s="54" t="s">
        <v>74</v>
      </c>
      <c r="BA261" s="54"/>
      <c r="BB261" s="54"/>
      <c r="BC261" s="54"/>
      <c r="BD261" s="54"/>
      <c r="BE261" s="55" t="s">
        <v>74</v>
      </c>
      <c r="BF261" s="55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447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465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449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466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198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467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452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468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24" customHeight="1">
      <c r="A266" s="39"/>
      <c r="B266" s="56" t="s">
        <v>9</v>
      </c>
      <c r="C266" s="57" t="s">
        <v>454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469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24" customHeight="1">
      <c r="A267" s="39"/>
      <c r="B267" s="56" t="s">
        <v>9</v>
      </c>
      <c r="C267" s="57" t="s">
        <v>456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470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458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471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24" customHeight="1">
      <c r="A269" s="39"/>
      <c r="B269" s="56" t="s">
        <v>9</v>
      </c>
      <c r="C269" s="57" t="s">
        <v>460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472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44" t="s">
        <v>473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5" t="s">
        <v>474</v>
      </c>
      <c r="W270" s="45"/>
      <c r="X270" s="45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47" t="s">
        <v>444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8" t="s">
        <v>9</v>
      </c>
      <c r="W271" s="48"/>
      <c r="X271" s="48"/>
      <c r="Y271" s="49" t="s">
        <v>9</v>
      </c>
      <c r="Z271" s="49"/>
      <c r="AA271" s="49"/>
      <c r="AB271" s="49"/>
      <c r="AC271" s="49" t="s">
        <v>9</v>
      </c>
      <c r="AD271" s="49"/>
      <c r="AE271" s="49"/>
      <c r="AF271" s="49" t="s">
        <v>9</v>
      </c>
      <c r="AG271" s="49"/>
      <c r="AH271" s="49"/>
      <c r="AI271" s="49" t="s">
        <v>9</v>
      </c>
      <c r="AJ271" s="49"/>
      <c r="AK271" s="49" t="s">
        <v>9</v>
      </c>
      <c r="AL271" s="49"/>
      <c r="AM271" s="49"/>
      <c r="AN271" s="49"/>
      <c r="AO271" s="49" t="s">
        <v>9</v>
      </c>
      <c r="AP271" s="49"/>
      <c r="AQ271" s="49"/>
      <c r="AR271" s="49" t="s">
        <v>9</v>
      </c>
      <c r="AS271" s="49"/>
      <c r="AT271" s="49"/>
      <c r="AU271" s="49" t="s">
        <v>9</v>
      </c>
      <c r="AV271" s="49"/>
      <c r="AW271" s="49"/>
      <c r="AX271" s="49" t="s">
        <v>9</v>
      </c>
      <c r="AY271" s="49"/>
      <c r="AZ271" s="49" t="s">
        <v>9</v>
      </c>
      <c r="BA271" s="49"/>
      <c r="BB271" s="49"/>
      <c r="BC271" s="49"/>
      <c r="BD271" s="49"/>
      <c r="BE271" s="50" t="s">
        <v>9</v>
      </c>
      <c r="BF271" s="50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1" t="s">
        <v>9</v>
      </c>
      <c r="C272" s="52" t="s">
        <v>445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3" t="s">
        <v>475</v>
      </c>
      <c r="W272" s="53"/>
      <c r="X272" s="53"/>
      <c r="Y272" s="54" t="s">
        <v>74</v>
      </c>
      <c r="Z272" s="54"/>
      <c r="AA272" s="54"/>
      <c r="AB272" s="54"/>
      <c r="AC272" s="54" t="s">
        <v>74</v>
      </c>
      <c r="AD272" s="54"/>
      <c r="AE272" s="54"/>
      <c r="AF272" s="54" t="s">
        <v>74</v>
      </c>
      <c r="AG272" s="54"/>
      <c r="AH272" s="54"/>
      <c r="AI272" s="54" t="s">
        <v>74</v>
      </c>
      <c r="AJ272" s="54"/>
      <c r="AK272" s="54" t="s">
        <v>74</v>
      </c>
      <c r="AL272" s="54"/>
      <c r="AM272" s="54"/>
      <c r="AN272" s="54"/>
      <c r="AO272" s="54" t="s">
        <v>74</v>
      </c>
      <c r="AP272" s="54"/>
      <c r="AQ272" s="54"/>
      <c r="AR272" s="54" t="s">
        <v>74</v>
      </c>
      <c r="AS272" s="54"/>
      <c r="AT272" s="54"/>
      <c r="AU272" s="54" t="s">
        <v>74</v>
      </c>
      <c r="AV272" s="54"/>
      <c r="AW272" s="54"/>
      <c r="AX272" s="54" t="s">
        <v>74</v>
      </c>
      <c r="AY272" s="54"/>
      <c r="AZ272" s="54" t="s">
        <v>74</v>
      </c>
      <c r="BA272" s="54"/>
      <c r="BB272" s="54"/>
      <c r="BC272" s="54"/>
      <c r="BD272" s="54"/>
      <c r="BE272" s="55" t="s">
        <v>74</v>
      </c>
      <c r="BF272" s="55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447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476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449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477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198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478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452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479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56" t="s">
        <v>9</v>
      </c>
      <c r="C277" s="57" t="s">
        <v>454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480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24" customHeight="1">
      <c r="A278" s="39"/>
      <c r="B278" s="56" t="s">
        <v>9</v>
      </c>
      <c r="C278" s="57" t="s">
        <v>456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481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458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482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24" customHeight="1">
      <c r="A280" s="39"/>
      <c r="B280" s="56" t="s">
        <v>9</v>
      </c>
      <c r="C280" s="57" t="s">
        <v>460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483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44" t="s">
        <v>484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5" t="s">
        <v>485</v>
      </c>
      <c r="W281" s="45"/>
      <c r="X281" s="45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47" t="s">
        <v>444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8" t="s">
        <v>9</v>
      </c>
      <c r="W282" s="48"/>
      <c r="X282" s="48"/>
      <c r="Y282" s="49" t="s">
        <v>9</v>
      </c>
      <c r="Z282" s="49"/>
      <c r="AA282" s="49"/>
      <c r="AB282" s="49"/>
      <c r="AC282" s="49" t="s">
        <v>9</v>
      </c>
      <c r="AD282" s="49"/>
      <c r="AE282" s="49"/>
      <c r="AF282" s="49" t="s">
        <v>9</v>
      </c>
      <c r="AG282" s="49"/>
      <c r="AH282" s="49"/>
      <c r="AI282" s="49" t="s">
        <v>9</v>
      </c>
      <c r="AJ282" s="49"/>
      <c r="AK282" s="49" t="s">
        <v>9</v>
      </c>
      <c r="AL282" s="49"/>
      <c r="AM282" s="49"/>
      <c r="AN282" s="49"/>
      <c r="AO282" s="49" t="s">
        <v>9</v>
      </c>
      <c r="AP282" s="49"/>
      <c r="AQ282" s="49"/>
      <c r="AR282" s="49" t="s">
        <v>9</v>
      </c>
      <c r="AS282" s="49"/>
      <c r="AT282" s="49"/>
      <c r="AU282" s="49" t="s">
        <v>9</v>
      </c>
      <c r="AV282" s="49"/>
      <c r="AW282" s="49"/>
      <c r="AX282" s="49" t="s">
        <v>9</v>
      </c>
      <c r="AY282" s="49"/>
      <c r="AZ282" s="49" t="s">
        <v>9</v>
      </c>
      <c r="BA282" s="49"/>
      <c r="BB282" s="49"/>
      <c r="BC282" s="49"/>
      <c r="BD282" s="49"/>
      <c r="BE282" s="50" t="s">
        <v>9</v>
      </c>
      <c r="BF282" s="50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1" t="s">
        <v>9</v>
      </c>
      <c r="C283" s="52" t="s">
        <v>445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3" t="s">
        <v>486</v>
      </c>
      <c r="W283" s="53"/>
      <c r="X283" s="53"/>
      <c r="Y283" s="54" t="s">
        <v>74</v>
      </c>
      <c r="Z283" s="54"/>
      <c r="AA283" s="54"/>
      <c r="AB283" s="54"/>
      <c r="AC283" s="54" t="s">
        <v>74</v>
      </c>
      <c r="AD283" s="54"/>
      <c r="AE283" s="54"/>
      <c r="AF283" s="54" t="s">
        <v>74</v>
      </c>
      <c r="AG283" s="54"/>
      <c r="AH283" s="54"/>
      <c r="AI283" s="54" t="s">
        <v>74</v>
      </c>
      <c r="AJ283" s="54"/>
      <c r="AK283" s="54" t="s">
        <v>74</v>
      </c>
      <c r="AL283" s="54"/>
      <c r="AM283" s="54"/>
      <c r="AN283" s="54"/>
      <c r="AO283" s="54" t="s">
        <v>74</v>
      </c>
      <c r="AP283" s="54"/>
      <c r="AQ283" s="54"/>
      <c r="AR283" s="54" t="s">
        <v>74</v>
      </c>
      <c r="AS283" s="54"/>
      <c r="AT283" s="54"/>
      <c r="AU283" s="54" t="s">
        <v>74</v>
      </c>
      <c r="AV283" s="54"/>
      <c r="AW283" s="54"/>
      <c r="AX283" s="54" t="s">
        <v>74</v>
      </c>
      <c r="AY283" s="54"/>
      <c r="AZ283" s="54" t="s">
        <v>74</v>
      </c>
      <c r="BA283" s="54"/>
      <c r="BB283" s="54"/>
      <c r="BC283" s="54"/>
      <c r="BD283" s="54"/>
      <c r="BE283" s="55" t="s">
        <v>74</v>
      </c>
      <c r="BF283" s="55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447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487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449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488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198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489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452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490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24" customHeight="1">
      <c r="A288" s="39"/>
      <c r="B288" s="56" t="s">
        <v>9</v>
      </c>
      <c r="C288" s="57" t="s">
        <v>454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491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24" customHeight="1">
      <c r="A289" s="39"/>
      <c r="B289" s="56" t="s">
        <v>9</v>
      </c>
      <c r="C289" s="57" t="s">
        <v>456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492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458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493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24" customHeight="1">
      <c r="A291" s="39"/>
      <c r="B291" s="56" t="s">
        <v>9</v>
      </c>
      <c r="C291" s="57" t="s">
        <v>460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494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44" t="s">
        <v>495</v>
      </c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5" t="s">
        <v>496</v>
      </c>
      <c r="W292" s="45"/>
      <c r="X292" s="45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47" t="s">
        <v>444</v>
      </c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8" t="s">
        <v>9</v>
      </c>
      <c r="W293" s="48"/>
      <c r="X293" s="48"/>
      <c r="Y293" s="49" t="s">
        <v>9</v>
      </c>
      <c r="Z293" s="49"/>
      <c r="AA293" s="49"/>
      <c r="AB293" s="49"/>
      <c r="AC293" s="49" t="s">
        <v>9</v>
      </c>
      <c r="AD293" s="49"/>
      <c r="AE293" s="49"/>
      <c r="AF293" s="49" t="s">
        <v>9</v>
      </c>
      <c r="AG293" s="49"/>
      <c r="AH293" s="49"/>
      <c r="AI293" s="49" t="s">
        <v>9</v>
      </c>
      <c r="AJ293" s="49"/>
      <c r="AK293" s="49" t="s">
        <v>9</v>
      </c>
      <c r="AL293" s="49"/>
      <c r="AM293" s="49"/>
      <c r="AN293" s="49"/>
      <c r="AO293" s="49" t="s">
        <v>9</v>
      </c>
      <c r="AP293" s="49"/>
      <c r="AQ293" s="49"/>
      <c r="AR293" s="49" t="s">
        <v>9</v>
      </c>
      <c r="AS293" s="49"/>
      <c r="AT293" s="49"/>
      <c r="AU293" s="49" t="s">
        <v>9</v>
      </c>
      <c r="AV293" s="49"/>
      <c r="AW293" s="49"/>
      <c r="AX293" s="49" t="s">
        <v>9</v>
      </c>
      <c r="AY293" s="49"/>
      <c r="AZ293" s="49" t="s">
        <v>9</v>
      </c>
      <c r="BA293" s="49"/>
      <c r="BB293" s="49"/>
      <c r="BC293" s="49"/>
      <c r="BD293" s="49"/>
      <c r="BE293" s="50" t="s">
        <v>9</v>
      </c>
      <c r="BF293" s="50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1" t="s">
        <v>9</v>
      </c>
      <c r="C294" s="52" t="s">
        <v>445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3" t="s">
        <v>497</v>
      </c>
      <c r="W294" s="53"/>
      <c r="X294" s="53"/>
      <c r="Y294" s="54" t="s">
        <v>74</v>
      </c>
      <c r="Z294" s="54"/>
      <c r="AA294" s="54"/>
      <c r="AB294" s="54"/>
      <c r="AC294" s="54" t="s">
        <v>74</v>
      </c>
      <c r="AD294" s="54"/>
      <c r="AE294" s="54"/>
      <c r="AF294" s="54" t="s">
        <v>74</v>
      </c>
      <c r="AG294" s="54"/>
      <c r="AH294" s="54"/>
      <c r="AI294" s="54" t="s">
        <v>74</v>
      </c>
      <c r="AJ294" s="54"/>
      <c r="AK294" s="54" t="s">
        <v>74</v>
      </c>
      <c r="AL294" s="54"/>
      <c r="AM294" s="54"/>
      <c r="AN294" s="54"/>
      <c r="AO294" s="54" t="s">
        <v>74</v>
      </c>
      <c r="AP294" s="54"/>
      <c r="AQ294" s="54"/>
      <c r="AR294" s="54" t="s">
        <v>74</v>
      </c>
      <c r="AS294" s="54"/>
      <c r="AT294" s="54"/>
      <c r="AU294" s="54" t="s">
        <v>74</v>
      </c>
      <c r="AV294" s="54"/>
      <c r="AW294" s="54"/>
      <c r="AX294" s="54" t="s">
        <v>74</v>
      </c>
      <c r="AY294" s="54"/>
      <c r="AZ294" s="54" t="s">
        <v>74</v>
      </c>
      <c r="BA294" s="54"/>
      <c r="BB294" s="54"/>
      <c r="BC294" s="54"/>
      <c r="BD294" s="54"/>
      <c r="BE294" s="55" t="s">
        <v>74</v>
      </c>
      <c r="BF294" s="55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447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498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449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499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198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500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452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501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24" customHeight="1">
      <c r="A299" s="39"/>
      <c r="B299" s="56" t="s">
        <v>9</v>
      </c>
      <c r="C299" s="57" t="s">
        <v>454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502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24" customHeight="1">
      <c r="A300" s="39"/>
      <c r="B300" s="56" t="s">
        <v>9</v>
      </c>
      <c r="C300" s="57" t="s">
        <v>456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503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458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504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56" t="s">
        <v>9</v>
      </c>
      <c r="C302" s="57" t="s">
        <v>460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505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44" t="s">
        <v>506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5" t="s">
        <v>507</v>
      </c>
      <c r="W303" s="45"/>
      <c r="X303" s="45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47" t="s">
        <v>444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8" t="s">
        <v>9</v>
      </c>
      <c r="W304" s="48"/>
      <c r="X304" s="48"/>
      <c r="Y304" s="49" t="s">
        <v>9</v>
      </c>
      <c r="Z304" s="49"/>
      <c r="AA304" s="49"/>
      <c r="AB304" s="49"/>
      <c r="AC304" s="49" t="s">
        <v>9</v>
      </c>
      <c r="AD304" s="49"/>
      <c r="AE304" s="49"/>
      <c r="AF304" s="49" t="s">
        <v>9</v>
      </c>
      <c r="AG304" s="49"/>
      <c r="AH304" s="49"/>
      <c r="AI304" s="49" t="s">
        <v>9</v>
      </c>
      <c r="AJ304" s="49"/>
      <c r="AK304" s="49" t="s">
        <v>9</v>
      </c>
      <c r="AL304" s="49"/>
      <c r="AM304" s="49"/>
      <c r="AN304" s="49"/>
      <c r="AO304" s="49" t="s">
        <v>9</v>
      </c>
      <c r="AP304" s="49"/>
      <c r="AQ304" s="49"/>
      <c r="AR304" s="49" t="s">
        <v>9</v>
      </c>
      <c r="AS304" s="49"/>
      <c r="AT304" s="49"/>
      <c r="AU304" s="49" t="s">
        <v>9</v>
      </c>
      <c r="AV304" s="49"/>
      <c r="AW304" s="49"/>
      <c r="AX304" s="49" t="s">
        <v>9</v>
      </c>
      <c r="AY304" s="49"/>
      <c r="AZ304" s="49" t="s">
        <v>9</v>
      </c>
      <c r="BA304" s="49"/>
      <c r="BB304" s="49"/>
      <c r="BC304" s="49"/>
      <c r="BD304" s="49"/>
      <c r="BE304" s="50" t="s">
        <v>9</v>
      </c>
      <c r="BF304" s="50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1" t="s">
        <v>9</v>
      </c>
      <c r="C305" s="52" t="s">
        <v>445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3" t="s">
        <v>508</v>
      </c>
      <c r="W305" s="53"/>
      <c r="X305" s="53"/>
      <c r="Y305" s="54" t="s">
        <v>74</v>
      </c>
      <c r="Z305" s="54"/>
      <c r="AA305" s="54"/>
      <c r="AB305" s="54"/>
      <c r="AC305" s="54" t="s">
        <v>74</v>
      </c>
      <c r="AD305" s="54"/>
      <c r="AE305" s="54"/>
      <c r="AF305" s="54" t="s">
        <v>74</v>
      </c>
      <c r="AG305" s="54"/>
      <c r="AH305" s="54"/>
      <c r="AI305" s="54" t="s">
        <v>74</v>
      </c>
      <c r="AJ305" s="54"/>
      <c r="AK305" s="54" t="s">
        <v>74</v>
      </c>
      <c r="AL305" s="54"/>
      <c r="AM305" s="54"/>
      <c r="AN305" s="54"/>
      <c r="AO305" s="54" t="s">
        <v>74</v>
      </c>
      <c r="AP305" s="54"/>
      <c r="AQ305" s="54"/>
      <c r="AR305" s="54" t="s">
        <v>74</v>
      </c>
      <c r="AS305" s="54"/>
      <c r="AT305" s="54"/>
      <c r="AU305" s="54" t="s">
        <v>74</v>
      </c>
      <c r="AV305" s="54"/>
      <c r="AW305" s="54"/>
      <c r="AX305" s="54" t="s">
        <v>74</v>
      </c>
      <c r="AY305" s="54"/>
      <c r="AZ305" s="54" t="s">
        <v>74</v>
      </c>
      <c r="BA305" s="54"/>
      <c r="BB305" s="54"/>
      <c r="BC305" s="54"/>
      <c r="BD305" s="54"/>
      <c r="BE305" s="55" t="s">
        <v>74</v>
      </c>
      <c r="BF305" s="55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447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509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449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510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198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511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452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512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24" customHeight="1">
      <c r="A310" s="39"/>
      <c r="B310" s="56" t="s">
        <v>9</v>
      </c>
      <c r="C310" s="57" t="s">
        <v>454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513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24" customHeight="1">
      <c r="A311" s="39"/>
      <c r="B311" s="56" t="s">
        <v>9</v>
      </c>
      <c r="C311" s="57" t="s">
        <v>456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514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458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515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24" customHeight="1">
      <c r="A313" s="39"/>
      <c r="B313" s="56" t="s">
        <v>9</v>
      </c>
      <c r="C313" s="57" t="s">
        <v>460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516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44" t="s">
        <v>517</v>
      </c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5" t="s">
        <v>518</v>
      </c>
      <c r="W314" s="45"/>
      <c r="X314" s="45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47" t="s">
        <v>444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8" t="s">
        <v>9</v>
      </c>
      <c r="W315" s="48"/>
      <c r="X315" s="48"/>
      <c r="Y315" s="49" t="s">
        <v>9</v>
      </c>
      <c r="Z315" s="49"/>
      <c r="AA315" s="49"/>
      <c r="AB315" s="49"/>
      <c r="AC315" s="49" t="s">
        <v>9</v>
      </c>
      <c r="AD315" s="49"/>
      <c r="AE315" s="49"/>
      <c r="AF315" s="49" t="s">
        <v>9</v>
      </c>
      <c r="AG315" s="49"/>
      <c r="AH315" s="49"/>
      <c r="AI315" s="49" t="s">
        <v>9</v>
      </c>
      <c r="AJ315" s="49"/>
      <c r="AK315" s="49" t="s">
        <v>9</v>
      </c>
      <c r="AL315" s="49"/>
      <c r="AM315" s="49"/>
      <c r="AN315" s="49"/>
      <c r="AO315" s="49" t="s">
        <v>9</v>
      </c>
      <c r="AP315" s="49"/>
      <c r="AQ315" s="49"/>
      <c r="AR315" s="49" t="s">
        <v>9</v>
      </c>
      <c r="AS315" s="49"/>
      <c r="AT315" s="49"/>
      <c r="AU315" s="49" t="s">
        <v>9</v>
      </c>
      <c r="AV315" s="49"/>
      <c r="AW315" s="49"/>
      <c r="AX315" s="49" t="s">
        <v>9</v>
      </c>
      <c r="AY315" s="49"/>
      <c r="AZ315" s="49" t="s">
        <v>9</v>
      </c>
      <c r="BA315" s="49"/>
      <c r="BB315" s="49"/>
      <c r="BC315" s="49"/>
      <c r="BD315" s="49"/>
      <c r="BE315" s="50" t="s">
        <v>9</v>
      </c>
      <c r="BF315" s="50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1" t="s">
        <v>9</v>
      </c>
      <c r="C316" s="52" t="s">
        <v>445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3" t="s">
        <v>519</v>
      </c>
      <c r="W316" s="53"/>
      <c r="X316" s="53"/>
      <c r="Y316" s="54" t="s">
        <v>74</v>
      </c>
      <c r="Z316" s="54"/>
      <c r="AA316" s="54"/>
      <c r="AB316" s="54"/>
      <c r="AC316" s="54" t="s">
        <v>74</v>
      </c>
      <c r="AD316" s="54"/>
      <c r="AE316" s="54"/>
      <c r="AF316" s="54" t="s">
        <v>74</v>
      </c>
      <c r="AG316" s="54"/>
      <c r="AH316" s="54"/>
      <c r="AI316" s="54" t="s">
        <v>74</v>
      </c>
      <c r="AJ316" s="54"/>
      <c r="AK316" s="54" t="s">
        <v>74</v>
      </c>
      <c r="AL316" s="54"/>
      <c r="AM316" s="54"/>
      <c r="AN316" s="54"/>
      <c r="AO316" s="54" t="s">
        <v>74</v>
      </c>
      <c r="AP316" s="54"/>
      <c r="AQ316" s="54"/>
      <c r="AR316" s="54" t="s">
        <v>74</v>
      </c>
      <c r="AS316" s="54"/>
      <c r="AT316" s="54"/>
      <c r="AU316" s="54" t="s">
        <v>74</v>
      </c>
      <c r="AV316" s="54"/>
      <c r="AW316" s="54"/>
      <c r="AX316" s="54" t="s">
        <v>74</v>
      </c>
      <c r="AY316" s="54"/>
      <c r="AZ316" s="54" t="s">
        <v>74</v>
      </c>
      <c r="BA316" s="54"/>
      <c r="BB316" s="54"/>
      <c r="BC316" s="54"/>
      <c r="BD316" s="54"/>
      <c r="BE316" s="55" t="s">
        <v>74</v>
      </c>
      <c r="BF316" s="55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447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520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449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521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198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522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452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523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24" customHeight="1">
      <c r="A321" s="39"/>
      <c r="B321" s="56" t="s">
        <v>9</v>
      </c>
      <c r="C321" s="57" t="s">
        <v>454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524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24" customHeight="1">
      <c r="A322" s="39"/>
      <c r="B322" s="56" t="s">
        <v>9</v>
      </c>
      <c r="C322" s="57" t="s">
        <v>456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525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458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526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24" customHeight="1">
      <c r="A324" s="39"/>
      <c r="B324" s="56" t="s">
        <v>9</v>
      </c>
      <c r="C324" s="57" t="s">
        <v>460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527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44" t="s">
        <v>528</v>
      </c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5" t="s">
        <v>529</v>
      </c>
      <c r="W325" s="45"/>
      <c r="X325" s="45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47" t="s">
        <v>444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8" t="s">
        <v>9</v>
      </c>
      <c r="W326" s="48"/>
      <c r="X326" s="48"/>
      <c r="Y326" s="49" t="s">
        <v>9</v>
      </c>
      <c r="Z326" s="49"/>
      <c r="AA326" s="49"/>
      <c r="AB326" s="49"/>
      <c r="AC326" s="49" t="s">
        <v>9</v>
      </c>
      <c r="AD326" s="49"/>
      <c r="AE326" s="49"/>
      <c r="AF326" s="49" t="s">
        <v>9</v>
      </c>
      <c r="AG326" s="49"/>
      <c r="AH326" s="49"/>
      <c r="AI326" s="49" t="s">
        <v>9</v>
      </c>
      <c r="AJ326" s="49"/>
      <c r="AK326" s="49" t="s">
        <v>9</v>
      </c>
      <c r="AL326" s="49"/>
      <c r="AM326" s="49"/>
      <c r="AN326" s="49"/>
      <c r="AO326" s="49" t="s">
        <v>9</v>
      </c>
      <c r="AP326" s="49"/>
      <c r="AQ326" s="49"/>
      <c r="AR326" s="49" t="s">
        <v>9</v>
      </c>
      <c r="AS326" s="49"/>
      <c r="AT326" s="49"/>
      <c r="AU326" s="49" t="s">
        <v>9</v>
      </c>
      <c r="AV326" s="49"/>
      <c r="AW326" s="49"/>
      <c r="AX326" s="49" t="s">
        <v>9</v>
      </c>
      <c r="AY326" s="49"/>
      <c r="AZ326" s="49" t="s">
        <v>9</v>
      </c>
      <c r="BA326" s="49"/>
      <c r="BB326" s="49"/>
      <c r="BC326" s="49"/>
      <c r="BD326" s="49"/>
      <c r="BE326" s="50" t="s">
        <v>9</v>
      </c>
      <c r="BF326" s="50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1" t="s">
        <v>9</v>
      </c>
      <c r="C327" s="52" t="s">
        <v>445</v>
      </c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3" t="s">
        <v>530</v>
      </c>
      <c r="W327" s="53"/>
      <c r="X327" s="53"/>
      <c r="Y327" s="54" t="s">
        <v>74</v>
      </c>
      <c r="Z327" s="54"/>
      <c r="AA327" s="54"/>
      <c r="AB327" s="54"/>
      <c r="AC327" s="54" t="s">
        <v>74</v>
      </c>
      <c r="AD327" s="54"/>
      <c r="AE327" s="54"/>
      <c r="AF327" s="54" t="s">
        <v>74</v>
      </c>
      <c r="AG327" s="54"/>
      <c r="AH327" s="54"/>
      <c r="AI327" s="54" t="s">
        <v>74</v>
      </c>
      <c r="AJ327" s="54"/>
      <c r="AK327" s="54" t="s">
        <v>74</v>
      </c>
      <c r="AL327" s="54"/>
      <c r="AM327" s="54"/>
      <c r="AN327" s="54"/>
      <c r="AO327" s="54" t="s">
        <v>74</v>
      </c>
      <c r="AP327" s="54"/>
      <c r="AQ327" s="54"/>
      <c r="AR327" s="54" t="s">
        <v>74</v>
      </c>
      <c r="AS327" s="54"/>
      <c r="AT327" s="54"/>
      <c r="AU327" s="54" t="s">
        <v>74</v>
      </c>
      <c r="AV327" s="54"/>
      <c r="AW327" s="54"/>
      <c r="AX327" s="54" t="s">
        <v>74</v>
      </c>
      <c r="AY327" s="54"/>
      <c r="AZ327" s="54" t="s">
        <v>74</v>
      </c>
      <c r="BA327" s="54"/>
      <c r="BB327" s="54"/>
      <c r="BC327" s="54"/>
      <c r="BD327" s="54"/>
      <c r="BE327" s="55" t="s">
        <v>74</v>
      </c>
      <c r="BF327" s="55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447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531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449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532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198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533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452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534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24" customHeight="1">
      <c r="A332" s="39"/>
      <c r="B332" s="56" t="s">
        <v>9</v>
      </c>
      <c r="C332" s="57" t="s">
        <v>454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535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24" customHeight="1">
      <c r="A333" s="39"/>
      <c r="B333" s="56" t="s">
        <v>9</v>
      </c>
      <c r="C333" s="57" t="s">
        <v>456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536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458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537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24" customHeight="1">
      <c r="A335" s="39"/>
      <c r="B335" s="56" t="s">
        <v>9</v>
      </c>
      <c r="C335" s="57" t="s">
        <v>460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538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44" t="s">
        <v>539</v>
      </c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5" t="s">
        <v>540</v>
      </c>
      <c r="W336" s="45"/>
      <c r="X336" s="45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4">
        <f>550794.62</f>
        <v>550794.62</v>
      </c>
      <c r="AS336" s="24"/>
      <c r="AT336" s="24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59">
        <f>550794.62</f>
        <v>550794.62</v>
      </c>
      <c r="BF336" s="5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47" t="s">
        <v>444</v>
      </c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8" t="s">
        <v>9</v>
      </c>
      <c r="W337" s="48"/>
      <c r="X337" s="48"/>
      <c r="Y337" s="49" t="s">
        <v>9</v>
      </c>
      <c r="Z337" s="49"/>
      <c r="AA337" s="49"/>
      <c r="AB337" s="49"/>
      <c r="AC337" s="49" t="s">
        <v>9</v>
      </c>
      <c r="AD337" s="49"/>
      <c r="AE337" s="49"/>
      <c r="AF337" s="49" t="s">
        <v>9</v>
      </c>
      <c r="AG337" s="49"/>
      <c r="AH337" s="49"/>
      <c r="AI337" s="49" t="s">
        <v>9</v>
      </c>
      <c r="AJ337" s="49"/>
      <c r="AK337" s="49" t="s">
        <v>9</v>
      </c>
      <c r="AL337" s="49"/>
      <c r="AM337" s="49"/>
      <c r="AN337" s="49"/>
      <c r="AO337" s="49" t="s">
        <v>9</v>
      </c>
      <c r="AP337" s="49"/>
      <c r="AQ337" s="49"/>
      <c r="AR337" s="49" t="s">
        <v>9</v>
      </c>
      <c r="AS337" s="49"/>
      <c r="AT337" s="49"/>
      <c r="AU337" s="49" t="s">
        <v>9</v>
      </c>
      <c r="AV337" s="49"/>
      <c r="AW337" s="49"/>
      <c r="AX337" s="49" t="s">
        <v>9</v>
      </c>
      <c r="AY337" s="49"/>
      <c r="AZ337" s="49" t="s">
        <v>9</v>
      </c>
      <c r="BA337" s="49"/>
      <c r="BB337" s="49"/>
      <c r="BC337" s="49"/>
      <c r="BD337" s="49"/>
      <c r="BE337" s="50" t="s">
        <v>9</v>
      </c>
      <c r="BF337" s="50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1" t="s">
        <v>9</v>
      </c>
      <c r="C338" s="52" t="s">
        <v>445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3" t="s">
        <v>541</v>
      </c>
      <c r="W338" s="53"/>
      <c r="X338" s="53"/>
      <c r="Y338" s="54" t="s">
        <v>74</v>
      </c>
      <c r="Z338" s="54"/>
      <c r="AA338" s="54"/>
      <c r="AB338" s="54"/>
      <c r="AC338" s="54" t="s">
        <v>74</v>
      </c>
      <c r="AD338" s="54"/>
      <c r="AE338" s="54"/>
      <c r="AF338" s="54" t="s">
        <v>74</v>
      </c>
      <c r="AG338" s="54"/>
      <c r="AH338" s="54"/>
      <c r="AI338" s="54" t="s">
        <v>74</v>
      </c>
      <c r="AJ338" s="54"/>
      <c r="AK338" s="54" t="s">
        <v>74</v>
      </c>
      <c r="AL338" s="54"/>
      <c r="AM338" s="54"/>
      <c r="AN338" s="54"/>
      <c r="AO338" s="54" t="s">
        <v>74</v>
      </c>
      <c r="AP338" s="54"/>
      <c r="AQ338" s="54"/>
      <c r="AR338" s="54" t="s">
        <v>74</v>
      </c>
      <c r="AS338" s="54"/>
      <c r="AT338" s="54"/>
      <c r="AU338" s="54" t="s">
        <v>74</v>
      </c>
      <c r="AV338" s="54"/>
      <c r="AW338" s="54"/>
      <c r="AX338" s="54" t="s">
        <v>74</v>
      </c>
      <c r="AY338" s="54"/>
      <c r="AZ338" s="54" t="s">
        <v>74</v>
      </c>
      <c r="BA338" s="54"/>
      <c r="BB338" s="54"/>
      <c r="BC338" s="54"/>
      <c r="BD338" s="54"/>
      <c r="BE338" s="55" t="s">
        <v>74</v>
      </c>
      <c r="BF338" s="55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447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542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449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543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6" t="s">
        <v>9</v>
      </c>
      <c r="C341" s="57" t="s">
        <v>198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544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4">
        <f>550794.62</f>
        <v>550794.62</v>
      </c>
      <c r="AS341" s="24"/>
      <c r="AT341" s="24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59">
        <f>550794.62</f>
        <v>550794.62</v>
      </c>
      <c r="BF341" s="5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452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545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24" customHeight="1">
      <c r="A343" s="39"/>
      <c r="B343" s="56" t="s">
        <v>9</v>
      </c>
      <c r="C343" s="57" t="s">
        <v>454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546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24" customHeight="1">
      <c r="A344" s="39"/>
      <c r="B344" s="56" t="s">
        <v>9</v>
      </c>
      <c r="C344" s="57" t="s">
        <v>456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547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458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548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24" customHeight="1">
      <c r="A346" s="39"/>
      <c r="B346" s="56" t="s">
        <v>9</v>
      </c>
      <c r="C346" s="57" t="s">
        <v>460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549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44" t="s">
        <v>550</v>
      </c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5" t="s">
        <v>551</v>
      </c>
      <c r="W347" s="45"/>
      <c r="X347" s="45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47" t="s">
        <v>444</v>
      </c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8" t="s">
        <v>9</v>
      </c>
      <c r="W348" s="48"/>
      <c r="X348" s="48"/>
      <c r="Y348" s="49" t="s">
        <v>9</v>
      </c>
      <c r="Z348" s="49"/>
      <c r="AA348" s="49"/>
      <c r="AB348" s="49"/>
      <c r="AC348" s="49" t="s">
        <v>9</v>
      </c>
      <c r="AD348" s="49"/>
      <c r="AE348" s="49"/>
      <c r="AF348" s="49" t="s">
        <v>9</v>
      </c>
      <c r="AG348" s="49"/>
      <c r="AH348" s="49"/>
      <c r="AI348" s="49" t="s">
        <v>9</v>
      </c>
      <c r="AJ348" s="49"/>
      <c r="AK348" s="49" t="s">
        <v>9</v>
      </c>
      <c r="AL348" s="49"/>
      <c r="AM348" s="49"/>
      <c r="AN348" s="49"/>
      <c r="AO348" s="49" t="s">
        <v>9</v>
      </c>
      <c r="AP348" s="49"/>
      <c r="AQ348" s="49"/>
      <c r="AR348" s="49" t="s">
        <v>9</v>
      </c>
      <c r="AS348" s="49"/>
      <c r="AT348" s="49"/>
      <c r="AU348" s="49" t="s">
        <v>9</v>
      </c>
      <c r="AV348" s="49"/>
      <c r="AW348" s="49"/>
      <c r="AX348" s="49" t="s">
        <v>9</v>
      </c>
      <c r="AY348" s="49"/>
      <c r="AZ348" s="49" t="s">
        <v>9</v>
      </c>
      <c r="BA348" s="49"/>
      <c r="BB348" s="49"/>
      <c r="BC348" s="49"/>
      <c r="BD348" s="49"/>
      <c r="BE348" s="50" t="s">
        <v>9</v>
      </c>
      <c r="BF348" s="50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1" t="s">
        <v>9</v>
      </c>
      <c r="C349" s="52" t="s">
        <v>445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3" t="s">
        <v>552</v>
      </c>
      <c r="W349" s="53"/>
      <c r="X349" s="53"/>
      <c r="Y349" s="54" t="s">
        <v>74</v>
      </c>
      <c r="Z349" s="54"/>
      <c r="AA349" s="54"/>
      <c r="AB349" s="54"/>
      <c r="AC349" s="54" t="s">
        <v>74</v>
      </c>
      <c r="AD349" s="54"/>
      <c r="AE349" s="54"/>
      <c r="AF349" s="54" t="s">
        <v>74</v>
      </c>
      <c r="AG349" s="54"/>
      <c r="AH349" s="54"/>
      <c r="AI349" s="54" t="s">
        <v>74</v>
      </c>
      <c r="AJ349" s="54"/>
      <c r="AK349" s="54" t="s">
        <v>74</v>
      </c>
      <c r="AL349" s="54"/>
      <c r="AM349" s="54"/>
      <c r="AN349" s="54"/>
      <c r="AO349" s="54" t="s">
        <v>74</v>
      </c>
      <c r="AP349" s="54"/>
      <c r="AQ349" s="54"/>
      <c r="AR349" s="54" t="s">
        <v>74</v>
      </c>
      <c r="AS349" s="54"/>
      <c r="AT349" s="54"/>
      <c r="AU349" s="54" t="s">
        <v>74</v>
      </c>
      <c r="AV349" s="54"/>
      <c r="AW349" s="54"/>
      <c r="AX349" s="54" t="s">
        <v>74</v>
      </c>
      <c r="AY349" s="54"/>
      <c r="AZ349" s="54" t="s">
        <v>74</v>
      </c>
      <c r="BA349" s="54"/>
      <c r="BB349" s="54"/>
      <c r="BC349" s="54"/>
      <c r="BD349" s="54"/>
      <c r="BE349" s="55" t="s">
        <v>74</v>
      </c>
      <c r="BF349" s="55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447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553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56" t="s">
        <v>9</v>
      </c>
      <c r="C351" s="57" t="s">
        <v>449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554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56" t="s">
        <v>9</v>
      </c>
      <c r="C352" s="57" t="s">
        <v>198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555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6" t="s">
        <v>9</v>
      </c>
      <c r="C353" s="57" t="s">
        <v>452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556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24" customHeight="1">
      <c r="A354" s="39"/>
      <c r="B354" s="56" t="s">
        <v>9</v>
      </c>
      <c r="C354" s="57" t="s">
        <v>454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557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24" customHeight="1">
      <c r="A355" s="39"/>
      <c r="B355" s="56" t="s">
        <v>9</v>
      </c>
      <c r="C355" s="57" t="s">
        <v>456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558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458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559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24" customHeight="1">
      <c r="A357" s="39"/>
      <c r="B357" s="56" t="s">
        <v>9</v>
      </c>
      <c r="C357" s="57" t="s">
        <v>460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60" t="s">
        <v>560</v>
      </c>
      <c r="W357" s="60"/>
      <c r="X357" s="60"/>
      <c r="Y357" s="61" t="s">
        <v>74</v>
      </c>
      <c r="Z357" s="61"/>
      <c r="AA357" s="61"/>
      <c r="AB357" s="61"/>
      <c r="AC357" s="61" t="s">
        <v>74</v>
      </c>
      <c r="AD357" s="61"/>
      <c r="AE357" s="61"/>
      <c r="AF357" s="61" t="s">
        <v>74</v>
      </c>
      <c r="AG357" s="61"/>
      <c r="AH357" s="61"/>
      <c r="AI357" s="61" t="s">
        <v>74</v>
      </c>
      <c r="AJ357" s="61"/>
      <c r="AK357" s="61" t="s">
        <v>74</v>
      </c>
      <c r="AL357" s="61"/>
      <c r="AM357" s="61"/>
      <c r="AN357" s="61"/>
      <c r="AO357" s="61" t="s">
        <v>74</v>
      </c>
      <c r="AP357" s="61"/>
      <c r="AQ357" s="61"/>
      <c r="AR357" s="61" t="s">
        <v>74</v>
      </c>
      <c r="AS357" s="61"/>
      <c r="AT357" s="61"/>
      <c r="AU357" s="61" t="s">
        <v>74</v>
      </c>
      <c r="AV357" s="61"/>
      <c r="AW357" s="61"/>
      <c r="AX357" s="61" t="s">
        <v>74</v>
      </c>
      <c r="AY357" s="61"/>
      <c r="AZ357" s="61" t="s">
        <v>74</v>
      </c>
      <c r="BA357" s="61"/>
      <c r="BB357" s="61"/>
      <c r="BC357" s="61"/>
      <c r="BD357" s="61"/>
      <c r="BE357" s="62" t="s">
        <v>74</v>
      </c>
      <c r="BF357" s="62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29" t="s">
        <v>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8" t="s">
        <v>561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3" t="s">
        <v>9</v>
      </c>
      <c r="O360" s="63"/>
      <c r="P360" s="63"/>
      <c r="Q360" s="63"/>
      <c r="R360" s="63"/>
      <c r="S360" s="63" t="s">
        <v>562</v>
      </c>
      <c r="T360" s="63"/>
      <c r="U360" s="63"/>
      <c r="V360" s="63"/>
      <c r="W360" s="63"/>
      <c r="X360" s="63"/>
      <c r="Y360" s="63"/>
      <c r="Z360" s="63"/>
      <c r="AA360" s="29" t="s">
        <v>9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64" t="s">
        <v>9</v>
      </c>
      <c r="O361" s="65" t="s">
        <v>563</v>
      </c>
      <c r="P361" s="65"/>
      <c r="Q361" s="65"/>
      <c r="R361" s="64" t="s">
        <v>9</v>
      </c>
      <c r="S361" s="64" t="s">
        <v>9</v>
      </c>
      <c r="T361" s="65" t="s">
        <v>564</v>
      </c>
      <c r="U361" s="65"/>
      <c r="V361" s="65"/>
      <c r="W361" s="65"/>
      <c r="X361" s="65"/>
      <c r="Y361" s="65"/>
      <c r="Z361" s="29" t="s">
        <v>9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7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8" t="s">
        <v>565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3" t="s">
        <v>9</v>
      </c>
      <c r="O363" s="63"/>
      <c r="P363" s="63"/>
      <c r="Q363" s="63"/>
      <c r="R363" s="63"/>
      <c r="S363" s="63" t="s">
        <v>566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64" t="s">
        <v>9</v>
      </c>
      <c r="O364" s="65" t="s">
        <v>563</v>
      </c>
      <c r="P364" s="65"/>
      <c r="Q364" s="65"/>
      <c r="R364" s="64" t="s">
        <v>9</v>
      </c>
      <c r="S364" s="64" t="s">
        <v>9</v>
      </c>
      <c r="T364" s="65" t="s">
        <v>564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7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567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3" t="s">
        <v>9</v>
      </c>
      <c r="O366" s="63"/>
      <c r="P366" s="63"/>
      <c r="Q366" s="63"/>
      <c r="R366" s="63"/>
      <c r="S366" s="63" t="s">
        <v>568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64" t="s">
        <v>9</v>
      </c>
      <c r="O367" s="65" t="s">
        <v>563</v>
      </c>
      <c r="P367" s="65"/>
      <c r="Q367" s="65"/>
      <c r="R367" s="64" t="s">
        <v>9</v>
      </c>
      <c r="S367" s="64" t="s">
        <v>9</v>
      </c>
      <c r="T367" s="65" t="s">
        <v>564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7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569</v>
      </c>
      <c r="B369" s="8"/>
      <c r="C369" s="8"/>
      <c r="D369" s="8"/>
      <c r="E369" s="63" t="s">
        <v>565</v>
      </c>
      <c r="F369" s="63"/>
      <c r="G369" s="63"/>
      <c r="H369" s="63"/>
      <c r="I369" s="63"/>
      <c r="J369" s="63"/>
      <c r="K369" s="63"/>
      <c r="L369" s="63"/>
      <c r="M369" s="63"/>
      <c r="N369" s="63" t="s">
        <v>9</v>
      </c>
      <c r="O369" s="63"/>
      <c r="P369" s="63"/>
      <c r="Q369" s="63"/>
      <c r="R369" s="63"/>
      <c r="S369" s="63" t="s">
        <v>566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64" t="s">
        <v>9</v>
      </c>
      <c r="F370" s="65" t="s">
        <v>570</v>
      </c>
      <c r="G370" s="65"/>
      <c r="H370" s="65"/>
      <c r="I370" s="65"/>
      <c r="J370" s="65"/>
      <c r="K370" s="65"/>
      <c r="L370" s="29" t="s">
        <v>9</v>
      </c>
      <c r="M370" s="29"/>
      <c r="N370" s="64" t="s">
        <v>9</v>
      </c>
      <c r="O370" s="65" t="s">
        <v>563</v>
      </c>
      <c r="P370" s="65"/>
      <c r="Q370" s="65"/>
      <c r="R370" s="64" t="s">
        <v>9</v>
      </c>
      <c r="S370" s="64" t="s">
        <v>9</v>
      </c>
      <c r="T370" s="65" t="s">
        <v>564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5.7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29" t="s">
        <v>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66" t="s">
        <v>571</v>
      </c>
      <c r="B373" s="66"/>
      <c r="C373" s="66"/>
      <c r="D373" s="66"/>
      <c r="E373" s="66"/>
      <c r="F373" s="66"/>
      <c r="G373" s="66"/>
      <c r="H373" s="66"/>
      <c r="I373" s="66"/>
      <c r="J373" s="66"/>
      <c r="K373" s="29" t="s">
        <v>9</v>
      </c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3.5" customHeight="1">
      <c r="A374" s="67" t="s">
        <v>572</v>
      </c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</row>
  </sheetData>
  <sheetProtection/>
  <mergeCells count="5611">
    <mergeCell ref="A371:BT371"/>
    <mergeCell ref="A372:BT372"/>
    <mergeCell ref="A373:J373"/>
    <mergeCell ref="K373:BT373"/>
    <mergeCell ref="A374:BT374"/>
    <mergeCell ref="A370:D370"/>
    <mergeCell ref="F370:K370"/>
    <mergeCell ref="L370:M370"/>
    <mergeCell ref="O370:Q370"/>
    <mergeCell ref="T370:Y370"/>
    <mergeCell ref="Z370:BT370"/>
    <mergeCell ref="A367:M367"/>
    <mergeCell ref="O367:Q367"/>
    <mergeCell ref="T367:Y367"/>
    <mergeCell ref="Z367:BT367"/>
    <mergeCell ref="A368:BT368"/>
    <mergeCell ref="A369:D369"/>
    <mergeCell ref="E369:M369"/>
    <mergeCell ref="N369:R369"/>
    <mergeCell ref="S369:Z369"/>
    <mergeCell ref="AA369:BT369"/>
    <mergeCell ref="A364:M364"/>
    <mergeCell ref="O364:Q364"/>
    <mergeCell ref="T364:Y364"/>
    <mergeCell ref="Z364:BT364"/>
    <mergeCell ref="A365:BT365"/>
    <mergeCell ref="A366:M366"/>
    <mergeCell ref="N366:R366"/>
    <mergeCell ref="S366:Z366"/>
    <mergeCell ref="AA366:BT366"/>
    <mergeCell ref="A361:M361"/>
    <mergeCell ref="O361:Q361"/>
    <mergeCell ref="T361:Y361"/>
    <mergeCell ref="Z361:BT361"/>
    <mergeCell ref="A362:BT362"/>
    <mergeCell ref="A363:M363"/>
    <mergeCell ref="N363:R363"/>
    <mergeCell ref="S363:Z363"/>
    <mergeCell ref="AA363:BT363"/>
    <mergeCell ref="AZ357:BD357"/>
    <mergeCell ref="BE357:BF357"/>
    <mergeCell ref="BG244:BT357"/>
    <mergeCell ref="A358:BT358"/>
    <mergeCell ref="A359:BT359"/>
    <mergeCell ref="A360:M360"/>
    <mergeCell ref="N360:R360"/>
    <mergeCell ref="S360:Z360"/>
    <mergeCell ref="AA360:BT360"/>
    <mergeCell ref="AI357:AJ357"/>
    <mergeCell ref="AK357:AN357"/>
    <mergeCell ref="AO357:AQ357"/>
    <mergeCell ref="AR357:AT357"/>
    <mergeCell ref="AU357:AW357"/>
    <mergeCell ref="AX357:AY357"/>
    <mergeCell ref="AR356:AT356"/>
    <mergeCell ref="AU356:AW356"/>
    <mergeCell ref="AX356:AY356"/>
    <mergeCell ref="AZ356:BD356"/>
    <mergeCell ref="BE356:BF356"/>
    <mergeCell ref="C357:U357"/>
    <mergeCell ref="V357:X357"/>
    <mergeCell ref="Y357:AB357"/>
    <mergeCell ref="AC357:AE357"/>
    <mergeCell ref="AF357:AH357"/>
    <mergeCell ref="AZ355:BD355"/>
    <mergeCell ref="BE355:BF355"/>
    <mergeCell ref="C356:U356"/>
    <mergeCell ref="V356:X356"/>
    <mergeCell ref="Y356:AB356"/>
    <mergeCell ref="AC356:AE356"/>
    <mergeCell ref="AF356:AH356"/>
    <mergeCell ref="AI356:AJ356"/>
    <mergeCell ref="AK356:AN356"/>
    <mergeCell ref="AO356:AQ356"/>
    <mergeCell ref="AI355:AJ355"/>
    <mergeCell ref="AK355:AN355"/>
    <mergeCell ref="AO355:AQ355"/>
    <mergeCell ref="AR355:AT355"/>
    <mergeCell ref="AU355:AW355"/>
    <mergeCell ref="AX355:AY355"/>
    <mergeCell ref="AR354:AT354"/>
    <mergeCell ref="AU354:AW354"/>
    <mergeCell ref="AX354:AY354"/>
    <mergeCell ref="AZ354:BD354"/>
    <mergeCell ref="BE354:BF354"/>
    <mergeCell ref="C355:U355"/>
    <mergeCell ref="V355:X355"/>
    <mergeCell ref="Y355:AB355"/>
    <mergeCell ref="AC355:AE355"/>
    <mergeCell ref="AF355:AH355"/>
    <mergeCell ref="AZ353:BD353"/>
    <mergeCell ref="BE353:BF353"/>
    <mergeCell ref="C354:U354"/>
    <mergeCell ref="V354:X354"/>
    <mergeCell ref="Y354:AB354"/>
    <mergeCell ref="AC354:AE354"/>
    <mergeCell ref="AF354:AH354"/>
    <mergeCell ref="AI354:AJ354"/>
    <mergeCell ref="AK354:AN354"/>
    <mergeCell ref="AO354:AQ354"/>
    <mergeCell ref="AI353:AJ353"/>
    <mergeCell ref="AK353:AN353"/>
    <mergeCell ref="AO353:AQ353"/>
    <mergeCell ref="AR353:AT353"/>
    <mergeCell ref="AU353:AW353"/>
    <mergeCell ref="AX353:AY353"/>
    <mergeCell ref="AR352:AT352"/>
    <mergeCell ref="AU352:AW352"/>
    <mergeCell ref="AX352:AY352"/>
    <mergeCell ref="AZ352:BD352"/>
    <mergeCell ref="BE352:BF352"/>
    <mergeCell ref="C353:U353"/>
    <mergeCell ref="V353:X353"/>
    <mergeCell ref="Y353:AB353"/>
    <mergeCell ref="AC353:AE353"/>
    <mergeCell ref="AF353:AH353"/>
    <mergeCell ref="AZ351:BD351"/>
    <mergeCell ref="BE351:BF351"/>
    <mergeCell ref="C352:U352"/>
    <mergeCell ref="V352:X352"/>
    <mergeCell ref="Y352:AB352"/>
    <mergeCell ref="AC352:AE352"/>
    <mergeCell ref="AF352:AH352"/>
    <mergeCell ref="AI352:AJ352"/>
    <mergeCell ref="AK352:AN352"/>
    <mergeCell ref="AO352:AQ352"/>
    <mergeCell ref="AI351:AJ351"/>
    <mergeCell ref="AK351:AN351"/>
    <mergeCell ref="AO351:AQ351"/>
    <mergeCell ref="AR351:AT351"/>
    <mergeCell ref="AU351:AW351"/>
    <mergeCell ref="AX351:AY351"/>
    <mergeCell ref="AR350:AT350"/>
    <mergeCell ref="AU350:AW350"/>
    <mergeCell ref="AX350:AY350"/>
    <mergeCell ref="AZ350:BD350"/>
    <mergeCell ref="BE350:BF350"/>
    <mergeCell ref="C351:U351"/>
    <mergeCell ref="V351:X351"/>
    <mergeCell ref="Y351:AB351"/>
    <mergeCell ref="AC351:AE351"/>
    <mergeCell ref="AF351:AH351"/>
    <mergeCell ref="AZ349:BD349"/>
    <mergeCell ref="BE349:BF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I349:AJ349"/>
    <mergeCell ref="AK349:AN349"/>
    <mergeCell ref="AO349:AQ349"/>
    <mergeCell ref="AR349:AT349"/>
    <mergeCell ref="AU349:AW349"/>
    <mergeCell ref="AX349:AY349"/>
    <mergeCell ref="AR348:AT348"/>
    <mergeCell ref="AU348:AW348"/>
    <mergeCell ref="AX348:AY348"/>
    <mergeCell ref="AZ348:BD348"/>
    <mergeCell ref="BE348:BF348"/>
    <mergeCell ref="C349:U349"/>
    <mergeCell ref="V349:X349"/>
    <mergeCell ref="Y349:AB349"/>
    <mergeCell ref="AC349:AE349"/>
    <mergeCell ref="AF349:AH349"/>
    <mergeCell ref="AZ347:BD347"/>
    <mergeCell ref="BE347:BF347"/>
    <mergeCell ref="B348:U348"/>
    <mergeCell ref="V348:X348"/>
    <mergeCell ref="Y348:AB348"/>
    <mergeCell ref="AC348:AE348"/>
    <mergeCell ref="AF348:AH348"/>
    <mergeCell ref="AI348:AJ348"/>
    <mergeCell ref="AK348:AN348"/>
    <mergeCell ref="AO348:AQ348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B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C343:U343"/>
    <mergeCell ref="V343:X343"/>
    <mergeCell ref="Y343:AB343"/>
    <mergeCell ref="AC343:AE343"/>
    <mergeCell ref="AF343:AH343"/>
    <mergeCell ref="AZ341:BD341"/>
    <mergeCell ref="BE341:BF341"/>
    <mergeCell ref="C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C341:U341"/>
    <mergeCell ref="V341:X341"/>
    <mergeCell ref="Y341:AB341"/>
    <mergeCell ref="AC341:AE341"/>
    <mergeCell ref="AF341:AH341"/>
    <mergeCell ref="AZ339:BD339"/>
    <mergeCell ref="BE339:BF339"/>
    <mergeCell ref="C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B337:U337"/>
    <mergeCell ref="V337:X337"/>
    <mergeCell ref="Y337:AB337"/>
    <mergeCell ref="AC337:AE337"/>
    <mergeCell ref="AF337:AH337"/>
    <mergeCell ref="AZ335:BD335"/>
    <mergeCell ref="BE335:BF335"/>
    <mergeCell ref="B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B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B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B315:U315"/>
    <mergeCell ref="V315:X315"/>
    <mergeCell ref="Y315:AB315"/>
    <mergeCell ref="AC315:AE315"/>
    <mergeCell ref="AF315:AH315"/>
    <mergeCell ref="AZ313:BD313"/>
    <mergeCell ref="BE313:BF313"/>
    <mergeCell ref="B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B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B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B293:U293"/>
    <mergeCell ref="V293:X293"/>
    <mergeCell ref="Y293:AB293"/>
    <mergeCell ref="AC293:AE293"/>
    <mergeCell ref="AF293:AH293"/>
    <mergeCell ref="AZ291:BD291"/>
    <mergeCell ref="BE291:BF291"/>
    <mergeCell ref="B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B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B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B271:U271"/>
    <mergeCell ref="V271:X271"/>
    <mergeCell ref="Y271:AB271"/>
    <mergeCell ref="AC271:AE271"/>
    <mergeCell ref="AF271:AH271"/>
    <mergeCell ref="AZ269:BD269"/>
    <mergeCell ref="BE269:BF269"/>
    <mergeCell ref="B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B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B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B249:U249"/>
    <mergeCell ref="V249:X249"/>
    <mergeCell ref="Y249:AB249"/>
    <mergeCell ref="AC249:AE249"/>
    <mergeCell ref="AF249:AH249"/>
    <mergeCell ref="AZ247:BD247"/>
    <mergeCell ref="BE247:BF247"/>
    <mergeCell ref="B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B247:U247"/>
    <mergeCell ref="V247:X247"/>
    <mergeCell ref="Y247:AB247"/>
    <mergeCell ref="AC247:AE247"/>
    <mergeCell ref="AF247:AH247"/>
    <mergeCell ref="AZ245:BD245"/>
    <mergeCell ref="BE244:BF245"/>
    <mergeCell ref="B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242:L242"/>
    <mergeCell ref="M242:BT242"/>
    <mergeCell ref="A243:BT243"/>
    <mergeCell ref="A244:A357"/>
    <mergeCell ref="B244:U245"/>
    <mergeCell ref="V244:X245"/>
    <mergeCell ref="Y244:BD244"/>
    <mergeCell ref="Y245:AB245"/>
    <mergeCell ref="AC245:AE245"/>
    <mergeCell ref="AF245:AH245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Y226:AZ226"/>
    <mergeCell ref="BA225:BT225"/>
    <mergeCell ref="BA226:BC226"/>
    <mergeCell ref="BD226:BE226"/>
    <mergeCell ref="BF226:BG226"/>
    <mergeCell ref="BQ226:BS226"/>
    <mergeCell ref="AJ226:AK226"/>
    <mergeCell ref="AL226:AM226"/>
    <mergeCell ref="AN226:AO226"/>
    <mergeCell ref="AP226:AR226"/>
    <mergeCell ref="AT226:AV226"/>
    <mergeCell ref="AW226:AX226"/>
    <mergeCell ref="A223:BT223"/>
    <mergeCell ref="A224:BT224"/>
    <mergeCell ref="A225:L226"/>
    <mergeCell ref="M225:O226"/>
    <mergeCell ref="P225:T226"/>
    <mergeCell ref="U225:AZ225"/>
    <mergeCell ref="U226:W226"/>
    <mergeCell ref="X226:AA226"/>
    <mergeCell ref="AB226:AD226"/>
    <mergeCell ref="AG226:AI226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4:BT84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2:L82"/>
    <mergeCell ref="M82:BT82"/>
    <mergeCell ref="A83:BT83"/>
    <mergeCell ref="A84:L85"/>
    <mergeCell ref="M84:O85"/>
    <mergeCell ref="P84:T85"/>
    <mergeCell ref="U84:AZ84"/>
    <mergeCell ref="U85:W85"/>
    <mergeCell ref="X85:AA85"/>
    <mergeCell ref="AB85:AD85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3" max="255" man="1"/>
    <brk id="242" max="255" man="1"/>
    <brk id="242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2023-09-06T11:10:59Z</dcterms:created>
  <dcterms:modified xsi:type="dcterms:W3CDTF">2023-09-06T11:10:59Z</dcterms:modified>
  <cp:category/>
  <cp:version/>
  <cp:contentType/>
  <cp:contentStatus/>
</cp:coreProperties>
</file>