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<sst xmlns="http://schemas.openxmlformats.org/spreadsheetml/2006/main" count="6990" uniqueCount="542">
  <si>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</si>
  <si>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</si>
  <si>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</si>
  <si>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</si>
  <si>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апреля 2023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</si>
  <si>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</si>
  <si>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</si>
  <si>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</si>
  <si>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</si>
  <si>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</si>
  <si>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</si>
  <si>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</si>
  <si>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</si>
  <si>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</si>
  <si>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</si>
  <si>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</si>
  <si>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</si>
  <si>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</si>
  <si>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</si>
  <si>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</si>
  <si>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</si>
  <si>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</si>
  <si>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</si>
  <si>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</si>
  <si>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</si>
  <si>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</si>
  <si>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</si>
  <si>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</si>
  <si>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</si>
  <si>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</si>
  <si>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</si>
  <si>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</si>
  <si>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</si>
  <si>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</si>
  <si>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</si>
  <si>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</si>
  <si>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</si>
  <si>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</si>
  <si>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</si>
  <si>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</si>
  <si>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</si>
  <si>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</si>
  <si>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</si>
  <si>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</si>
  <si>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</si>
  <si>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</si>
  <si>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</si>
  <si>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</si>
  <si>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</si>
  <si>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</si>
  <si>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</si>
  <si>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</si>
  <si>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</si>
  <si>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</si>
  <si>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</si>
  <si>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</si>
  <si>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</si>
  <si>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</si>
  <si>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</si>
  <si>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</si>
  <si>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</si>
  <si>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</si>
  <si>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</si>
  <si>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</si>
  <si>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</si>
  <si>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</si>
  <si>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</si>
  <si>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</si>
  <si>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</si>
  <si>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</si>
  <si>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</si>
  <si>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</si>
  <si>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</si>
  <si>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</si>
  <si>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</si>
  <si>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</si>
  <si>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</si>
  <si>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</si>
  <si>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</si>
  <si>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</si>
  <si>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</si>
  <si>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</si>
  <si>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</si>
  <si>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</si>
  <si>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</si>
  <si>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</si>
  <si>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</si>
  <si>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</si>
  <si>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</si>
  <si>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</si>
  <si>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</si>
  <si>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</si>
  <si>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</si>
  <si>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</si>
  <si>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</si>
  <si>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</si>
  <si>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</si>
  <si>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</si>
  <si>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</si>
  <si>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</si>
  <si>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</si>
  <si>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</si>
  <si>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</si>
  <si>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</si>
  <si>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</si>
  <si>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</si>
  <si>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</si>
  <si>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</si>
  <si>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</si>
  <si>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</si>
  <si>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</si>
  <si>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</si>
  <si>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</si>
  <si>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</si>
  <si>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</si>
  <si>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</si>
  <si>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</si>
  <si>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</si>
  <si>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</si>
  <si>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</si>
  <si>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</si>
  <si>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</si>
  <si>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</si>
  <si>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</si>
  <si>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</si>
  <si>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</si>
  <si>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</si>
  <si>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</si>
  <si>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</si>
  <si>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</si>
  <si>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</si>
  <si>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</si>
  <si>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</si>
  <si>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</si>
  <si>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</si>
  <si>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</si>
  <si>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</si>
  <si>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</si>
  <si>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</si>
  <si>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</si>
  <si>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</si>
  <si>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</si>
  <si>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</si>
  <si>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</si>
  <si>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</si>
  <si>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</si>
  <si>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</si>
  <si>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</si>
  <si>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</si>
  <si>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</si>
  <si>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</si>
  <si>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</si>
  <si>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</si>
  <si>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</si>
  <si>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</si>
  <si>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</si>
  <si>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</si>
  <si>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</si>
  <si>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</si>
  <si>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</si>
  <si>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</si>
  <si>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</si>
  <si>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</si>
  <si>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</si>
  <si>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</si>
  <si>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</si>
  <si>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</si>
  <si>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</si>
  <si>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</si>
  <si>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</si>
  <si>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</si>
  <si>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</si>
  <si>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</si>
  <si>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</si>
  <si>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</si>
  <si>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</si>
  <si>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</si>
  <si>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</si>
  <si>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</si>
  <si>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</si>
  <si>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</si>
  <si>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</si>
  <si>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</si>
  <si>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</si>
  <si>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</si>
  <si>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</si>
  <si>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</si>
  <si>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</si>
  <si>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</si>
  <si>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</si>
  <si>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</si>
  <si>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</si>
  <si>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</si>
  <si>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</si>
  <si>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</si>
  <si>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</si>
  <si>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</si>
  <si>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</si>
  <si>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</si>
  <si>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</si>
  <si>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</si>
  <si>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</si>
  <si>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</si>
  <si>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</si>
  <si>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</si>
  <si>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</si>
  <si>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</si>
  <si>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</si>
  <si>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</si>
  <si>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</si>
  <si>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</si>
  <si>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</si>
  <si>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</si>
  <si>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</si>
  <si>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</si>
  <si>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</si>
  <si>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</si>
  <si>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</si>
  <si>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</si>
  <si>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</si>
  <si>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</si>
  <si>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</si>
  <si>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</si>
  <si>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</si>
  <si>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</si>
  <si>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</si>
  <si>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</si>
  <si>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</si>
  <si>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</si>
  <si>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</si>
  <si>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</si>
  <si>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</si>
  <si>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</si>
  <si>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</si>
  <si>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</si>
  <si>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</si>
  <si>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</si>
  <si>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</si>
  <si>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</si>
  <si>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</si>
  <si>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</si>
  <si>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</si>
  <si>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</si>
  <si>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</si>
  <si>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</si>
  <si>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</si>
  <si>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</si>
  <si>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</si>
  <si>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</si>
  <si>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</si>
  <si>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</si>
  <si>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</si>
  <si>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</si>
  <si>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</si>
  <si>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</si>
  <si>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</si>
  <si>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</si>
  <si>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</si>
  <si>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</si>
  <si>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</si>
  <si>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000 0113 0000000000 800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</si>
  <si>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</si>
  <si>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</si>
  <si>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</si>
  <si>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</si>
  <si>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</si>
  <si>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</si>
  <si>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</si>
  <si>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</si>
  <si>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</si>
  <si>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</si>
  <si>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</si>
  <si>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</si>
  <si>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</si>
  <si>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</si>
  <si>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</si>
  <si>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</si>
  <si>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</si>
  <si>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</si>
  <si>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</si>
  <si>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</si>
  <si>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</si>
  <si>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</si>
  <si>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</si>
  <si>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</si>
  <si>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</si>
  <si>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</si>
  <si>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 и услуг в целях капитального ремонта государственного (муниципального) имущества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</si>
  <si>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</si>
  <si>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</si>
  <si>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</si>
  <si>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</si>
  <si>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</si>
  <si>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</si>
  <si>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</si>
  <si>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</si>
  <si>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</si>
  <si>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</si>
  <si>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</si>
  <si>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</si>
  <si>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</si>
  <si>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</si>
  <si>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</si>
  <si>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</si>
  <si>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</si>
  <si>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</si>
  <si>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</si>
  <si>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</si>
  <si>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</si>
  <si>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</si>
  <si>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</si>
  <si>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</si>
  <si>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</si>
  <si>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</si>
  <si>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</si>
  <si>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</si>
  <si>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</si>
  <si>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</si>
  <si>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</si>
  <si>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</si>
  <si>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</si>
  <si>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</si>
  <si>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</si>
  <si>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</si>
  <si>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</si>
  <si>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</si>
  <si>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</si>
  <si>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</si>
  <si>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</si>
  <si>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</si>
  <si>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</si>
  <si>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</si>
  <si>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</si>
  <si>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</si>
  <si>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</si>
  <si>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</si>
  <si>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</si>
  <si>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</si>
  <si>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</si>
  <si>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</si>
  <si>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</si>
  <si>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</si>
  <si>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</si>
  <si>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</si>
  <si>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</si>
  <si>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</si>
  <si>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</si>
  <si>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</si>
  <si>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</si>
  <si>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</si>
  <si>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</si>
  <si>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</si>
  <si>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</si>
  <si>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</si>
  <si>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</si>
  <si>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</si>
  <si>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</si>
  <si>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</si>
  <si>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</si>
  <si>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</si>
  <si>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</si>
  <si>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</si>
  <si>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</si>
  <si>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</si>
  <si>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</si>
  <si>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</si>
  <si>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</si>
  <si>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</si>
  <si>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</si>
  <si>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</si>
  <si>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</si>
  <si>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</si>
  <si>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</si>
  <si>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</si>
  <si>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</si>
  <si>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</si>
  <si>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</si>
  <si>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</si>
  <si>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</si>
  <si>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</si>
  <si>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</si>
  <si>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</si>
  <si>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</si>
  <si>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</si>
  <si>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</si>
  <si>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</si>
  <si>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</si>
  <si>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</si>
  <si>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</si>
  <si>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</si>
  <si>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</si>
  <si>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</si>
  <si>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</si>
  <si>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</si>
  <si>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</si>
  <si>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</si>
  <si>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</si>
  <si>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</si>
  <si>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</si>
  <si>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</si>
  <si>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</si>
  <si>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</si>
  <si>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</si>
  <si>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</si>
  <si>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</si>
  <si>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</si>
  <si>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</si>
  <si>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</si>
  <si>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</si>
  <si>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</si>
  <si>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</si>
  <si>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</si>
  <si>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</si>
  <si>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</si>
  <si>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</si>
  <si>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</si>
  <si>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</si>
  <si>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</si>
  <si>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</si>
  <si>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</si>
  <si>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</si>
  <si>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</si>
  <si>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</si>
  <si>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</si>
  <si>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</si>
  <si>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</si>
  <si>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</si>
  <si>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</si>
  <si>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</si>
  <si>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</si>
  <si>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</si>
  <si>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</si>
  <si>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</si>
  <si>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</si>
  <si>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</si>
  <si>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</si>
  <si>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</si>
  <si>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</si>
  <si>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</si>
  <si>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</si>
  <si>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</si>
  <si>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</si>
  <si>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</si>
  <si>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</si>
  <si>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</si>
  <si>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</si>
  <si>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</si>
  <si>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</si>
  <si>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</si>
  <si>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</si>
  <si>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</si>
  <si>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</si>
  <si>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</si>
  <si>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</si>
  <si>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</si>
  <si>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</si>
  <si>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</si>
  <si>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</si>
  <si>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</si>
  <si>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</si>
  <si>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</si>
  <si>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</si>
  <si>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</si>
  <si>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</si>
  <si>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</si>
  <si>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</si>
  <si>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</si>
  <si>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</si>
  <si>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</si>
  <si>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</si>
  <si>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</si>
  <si>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</si>
  <si>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</si>
  <si>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</si>
  <si>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</si>
  <si>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</si>
  <si>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</si>
  <si>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</si>
  <si>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</si>
  <si>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</si>
  <si>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</si>
  <si>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</si>
  <si>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</si>
  <si>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</si>
  <si>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</si>
  <si>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</si>
  <si>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</si>
  <si>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</si>
  <si>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</si>
  <si>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</si>
  <si>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</si>
  <si>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</si>
  <si>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</si>
  <si>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</si>
  <si>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</si>
  <si>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</si>
  <si>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</si>
  <si>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</si>
  <si>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</si>
  <si>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</si>
  <si>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</si>
  <si>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</si>
  <si>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</si>
  <si>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</si>
  <si>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</si>
  <si>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</si>
  <si>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</si>
  <si>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</si>
  <si>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</si>
  <si>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</si>
  <si>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</si>
  <si>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</si>
  <si>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</si>
  <si>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</si>
  <si>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</si>
  <si>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</si>
  <si>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</si>
  <si>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</si>
  <si>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</si>
  <si>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</si>
  <si>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</si>
  <si>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</si>
  <si>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</si>
  <si>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</si>
  <si>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</si>
  <si>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</si>
  <si>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</si>
  <si>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</si>
  <si>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</si>
  <si>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</si>
  <si>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</si>
  <si>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</si>
  <si>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</si>
  <si>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</si>
  <si>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</si>
  <si>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</si>
  <si>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</si>
  <si>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</si>
  <si>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</si>
  <si>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</si>
  <si>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3 мая 2023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</si>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</sst>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57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45017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13925000</f>
        <v>13925000</v>
      </c>
      <c r="V13" s="18"/>
      <c r="W13" s="18"/>
      <c r="X13" s="19" t="s">
        <v>74</v>
      </c>
      <c r="Y13" s="19"/>
      <c r="Z13" s="19"/>
      <c r="AA13" s="19"/>
      <c r="AB13" s="18">
        <f>13925000</f>
        <v>13925000</v>
      </c>
      <c r="AC13" s="18"/>
      <c r="AD13" s="18"/>
      <c r="AE13" s="20">
        <f>34226453</f>
        <v>34226453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48151453</f>
        <v>48151453</v>
      </c>
      <c r="AX13" s="18"/>
      <c r="AY13" s="19" t="s">
        <v>74</v>
      </c>
      <c r="AZ13" s="19"/>
      <c r="BA13" s="18">
        <f>2306050.73</f>
        <v>2306050.73</v>
      </c>
      <c r="BB13" s="18"/>
      <c r="BC13" s="18"/>
      <c r="BD13" s="19" t="s">
        <v>74</v>
      </c>
      <c r="BE13" s="19"/>
      <c r="BF13" s="18">
        <f>2306050.73</f>
        <v>2306050.73</v>
      </c>
      <c r="BG13" s="18"/>
      <c r="BH13" s="20">
        <f>4413374.35</f>
        <v>4413374.35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6719425.08</f>
        <v>6719425.08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13875000</f>
        <v>13875000</v>
      </c>
      <c r="V14" s="24"/>
      <c r="W14" s="24"/>
      <c r="X14" s="25" t="s">
        <v>74</v>
      </c>
      <c r="Y14" s="25"/>
      <c r="Z14" s="25"/>
      <c r="AA14" s="25"/>
      <c r="AB14" s="24">
        <f>13875000</f>
        <v>13875000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13875000</f>
        <v>13875000</v>
      </c>
      <c r="AX14" s="24"/>
      <c r="AY14" s="25" t="s">
        <v>74</v>
      </c>
      <c r="AZ14" s="25"/>
      <c r="BA14" s="24">
        <f>2306050.73</f>
        <v>2306050.73</v>
      </c>
      <c r="BB14" s="24"/>
      <c r="BC14" s="24"/>
      <c r="BD14" s="25" t="s">
        <v>74</v>
      </c>
      <c r="BE14" s="25"/>
      <c r="BF14" s="24">
        <f>2306050.73</f>
        <v>2306050.73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2306050.73</f>
        <v>2306050.73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1350000</f>
        <v>1350000</v>
      </c>
      <c r="V15" s="24"/>
      <c r="W15" s="24"/>
      <c r="X15" s="25" t="s">
        <v>74</v>
      </c>
      <c r="Y15" s="25"/>
      <c r="Z15" s="25"/>
      <c r="AA15" s="25"/>
      <c r="AB15" s="24">
        <f>1350000</f>
        <v>1350000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1350000</f>
        <v>1350000</v>
      </c>
      <c r="AX15" s="24"/>
      <c r="AY15" s="25" t="s">
        <v>74</v>
      </c>
      <c r="AZ15" s="25"/>
      <c r="BA15" s="24">
        <f>329319.55</f>
        <v>329319.55</v>
      </c>
      <c r="BB15" s="24"/>
      <c r="BC15" s="24"/>
      <c r="BD15" s="25" t="s">
        <v>74</v>
      </c>
      <c r="BE15" s="25"/>
      <c r="BF15" s="24">
        <f>329319.55</f>
        <v>329319.55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329319.55</f>
        <v>329319.55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1350000</f>
        <v>1350000</v>
      </c>
      <c r="V16" s="24"/>
      <c r="W16" s="24"/>
      <c r="X16" s="25" t="s">
        <v>74</v>
      </c>
      <c r="Y16" s="25"/>
      <c r="Z16" s="25"/>
      <c r="AA16" s="25"/>
      <c r="AB16" s="24">
        <f>1350000</f>
        <v>1350000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1350000</f>
        <v>1350000</v>
      </c>
      <c r="AX16" s="24"/>
      <c r="AY16" s="25" t="s">
        <v>74</v>
      </c>
      <c r="AZ16" s="25"/>
      <c r="BA16" s="24">
        <f>329319.55</f>
        <v>329319.55</v>
      </c>
      <c r="BB16" s="24"/>
      <c r="BC16" s="24"/>
      <c r="BD16" s="25" t="s">
        <v>74</v>
      </c>
      <c r="BE16" s="25"/>
      <c r="BF16" s="24">
        <f>329319.55</f>
        <v>329319.55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329319.55</f>
        <v>329319.55</v>
      </c>
      <c r="BR16" s="24"/>
      <c r="BS16" s="24"/>
      <c r="BT16" s="27" t="s">
        <v>74</v>
      </c>
    </row>
    <row r="17" spans="1:72" s="1" customFormat="1" ht="75.7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1326000</f>
        <v>1326000</v>
      </c>
      <c r="V17" s="24"/>
      <c r="W17" s="24"/>
      <c r="X17" s="25" t="s">
        <v>74</v>
      </c>
      <c r="Y17" s="25"/>
      <c r="Z17" s="25"/>
      <c r="AA17" s="25"/>
      <c r="AB17" s="24">
        <f>1326000</f>
        <v>1326000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1326000</f>
        <v>1326000</v>
      </c>
      <c r="AX17" s="24"/>
      <c r="AY17" s="25" t="s">
        <v>74</v>
      </c>
      <c r="AZ17" s="25"/>
      <c r="BA17" s="24">
        <f>330682.44</f>
        <v>330682.44</v>
      </c>
      <c r="BB17" s="24"/>
      <c r="BC17" s="24"/>
      <c r="BD17" s="25" t="s">
        <v>74</v>
      </c>
      <c r="BE17" s="25"/>
      <c r="BF17" s="24">
        <f>330682.44</f>
        <v>330682.44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330682.44</f>
        <v>330682.44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4">
        <f>-105.87</f>
        <v>-105.87</v>
      </c>
      <c r="BB18" s="24"/>
      <c r="BC18" s="24"/>
      <c r="BD18" s="25" t="s">
        <v>74</v>
      </c>
      <c r="BE18" s="25"/>
      <c r="BF18" s="24">
        <f>-105.87</f>
        <v>-105.87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-105.87</f>
        <v>-105.87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339.4</f>
        <v>339.4</v>
      </c>
      <c r="BB19" s="24"/>
      <c r="BC19" s="24"/>
      <c r="BD19" s="25" t="s">
        <v>74</v>
      </c>
      <c r="BE19" s="25"/>
      <c r="BF19" s="24">
        <f>339.4</f>
        <v>339.4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339.4</f>
        <v>339.4</v>
      </c>
      <c r="BR19" s="24"/>
      <c r="BS19" s="24"/>
      <c r="BT19" s="27" t="s">
        <v>74</v>
      </c>
    </row>
    <row r="20" spans="1:72" s="1" customFormat="1" ht="96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-1596.42</f>
        <v>-1596.42</v>
      </c>
      <c r="BB20" s="24"/>
      <c r="BC20" s="24"/>
      <c r="BD20" s="25" t="s">
        <v>74</v>
      </c>
      <c r="BE20" s="25"/>
      <c r="BF20" s="24">
        <f>-1596.42</f>
        <v>-1596.42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-1596.42</f>
        <v>-1596.42</v>
      </c>
      <c r="BR20" s="24"/>
      <c r="BS20" s="24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4515000</f>
        <v>4515000</v>
      </c>
      <c r="V21" s="24"/>
      <c r="W21" s="24"/>
      <c r="X21" s="25" t="s">
        <v>74</v>
      </c>
      <c r="Y21" s="25"/>
      <c r="Z21" s="25"/>
      <c r="AA21" s="25"/>
      <c r="AB21" s="24">
        <f>4515000</f>
        <v>4515000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4515000</f>
        <v>4515000</v>
      </c>
      <c r="AX21" s="24"/>
      <c r="AY21" s="25" t="s">
        <v>74</v>
      </c>
      <c r="AZ21" s="25"/>
      <c r="BA21" s="24">
        <f>1245293.46</f>
        <v>1245293.46</v>
      </c>
      <c r="BB21" s="24"/>
      <c r="BC21" s="24"/>
      <c r="BD21" s="25" t="s">
        <v>74</v>
      </c>
      <c r="BE21" s="25"/>
      <c r="BF21" s="24">
        <f>1245293.46</f>
        <v>1245293.46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1245293.46</f>
        <v>1245293.46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4515000</f>
        <v>4515000</v>
      </c>
      <c r="V22" s="24"/>
      <c r="W22" s="24"/>
      <c r="X22" s="25" t="s">
        <v>74</v>
      </c>
      <c r="Y22" s="25"/>
      <c r="Z22" s="25"/>
      <c r="AA22" s="25"/>
      <c r="AB22" s="24">
        <f>4515000</f>
        <v>4515000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4515000</f>
        <v>4515000</v>
      </c>
      <c r="AX22" s="24"/>
      <c r="AY22" s="25" t="s">
        <v>74</v>
      </c>
      <c r="AZ22" s="25"/>
      <c r="BA22" s="24">
        <f>1245293.46</f>
        <v>1245293.46</v>
      </c>
      <c r="BB22" s="24"/>
      <c r="BC22" s="24"/>
      <c r="BD22" s="25" t="s">
        <v>74</v>
      </c>
      <c r="BE22" s="25"/>
      <c r="BF22" s="24">
        <f>1245293.46</f>
        <v>1245293.46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1245293.46</f>
        <v>1245293.46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2193850</f>
        <v>2193850</v>
      </c>
      <c r="V23" s="24"/>
      <c r="W23" s="24"/>
      <c r="X23" s="25" t="s">
        <v>74</v>
      </c>
      <c r="Y23" s="25"/>
      <c r="Z23" s="25"/>
      <c r="AA23" s="25"/>
      <c r="AB23" s="24">
        <f>2193850</f>
        <v>2193850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2193850</f>
        <v>2193850</v>
      </c>
      <c r="AX23" s="24"/>
      <c r="AY23" s="25" t="s">
        <v>74</v>
      </c>
      <c r="AZ23" s="25"/>
      <c r="BA23" s="24">
        <f>640180.08</f>
        <v>640180.08</v>
      </c>
      <c r="BB23" s="24"/>
      <c r="BC23" s="24"/>
      <c r="BD23" s="25" t="s">
        <v>74</v>
      </c>
      <c r="BE23" s="25"/>
      <c r="BF23" s="24">
        <f>640180.08</f>
        <v>640180.08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640180.08</f>
        <v>640180.08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2193850</f>
        <v>2193850</v>
      </c>
      <c r="V24" s="24"/>
      <c r="W24" s="24"/>
      <c r="X24" s="25" t="s">
        <v>74</v>
      </c>
      <c r="Y24" s="25"/>
      <c r="Z24" s="25"/>
      <c r="AA24" s="25"/>
      <c r="AB24" s="24">
        <f>2193850</f>
        <v>2193850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2193850</f>
        <v>2193850</v>
      </c>
      <c r="AX24" s="24"/>
      <c r="AY24" s="25" t="s">
        <v>74</v>
      </c>
      <c r="AZ24" s="25"/>
      <c r="BA24" s="24">
        <f>640180.08</f>
        <v>640180.08</v>
      </c>
      <c r="BB24" s="24"/>
      <c r="BC24" s="24"/>
      <c r="BD24" s="25" t="s">
        <v>74</v>
      </c>
      <c r="BE24" s="25"/>
      <c r="BF24" s="24">
        <f>640180.08</f>
        <v>640180.08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640180.08</f>
        <v>640180.08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15240</f>
        <v>15240</v>
      </c>
      <c r="V25" s="24"/>
      <c r="W25" s="24"/>
      <c r="X25" s="25" t="s">
        <v>74</v>
      </c>
      <c r="Y25" s="25"/>
      <c r="Z25" s="25"/>
      <c r="AA25" s="25"/>
      <c r="AB25" s="24">
        <f>15240</f>
        <v>15240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15240</f>
        <v>15240</v>
      </c>
      <c r="AX25" s="24"/>
      <c r="AY25" s="25" t="s">
        <v>74</v>
      </c>
      <c r="AZ25" s="25"/>
      <c r="BA25" s="24">
        <f>2627.4</f>
        <v>2627.4</v>
      </c>
      <c r="BB25" s="24"/>
      <c r="BC25" s="24"/>
      <c r="BD25" s="25" t="s">
        <v>74</v>
      </c>
      <c r="BE25" s="25"/>
      <c r="BF25" s="24">
        <f>2627.4</f>
        <v>2627.4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2627.4</f>
        <v>2627.4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15240</f>
        <v>15240</v>
      </c>
      <c r="V26" s="24"/>
      <c r="W26" s="24"/>
      <c r="X26" s="25" t="s">
        <v>74</v>
      </c>
      <c r="Y26" s="25"/>
      <c r="Z26" s="25"/>
      <c r="AA26" s="25"/>
      <c r="AB26" s="24">
        <f>15240</f>
        <v>15240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15240</f>
        <v>15240</v>
      </c>
      <c r="AX26" s="24"/>
      <c r="AY26" s="25" t="s">
        <v>74</v>
      </c>
      <c r="AZ26" s="25"/>
      <c r="BA26" s="24">
        <f>2627.4</f>
        <v>2627.4</v>
      </c>
      <c r="BB26" s="24"/>
      <c r="BC26" s="24"/>
      <c r="BD26" s="25" t="s">
        <v>74</v>
      </c>
      <c r="BE26" s="25"/>
      <c r="BF26" s="24">
        <f>2627.4</f>
        <v>2627.4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2627.4</f>
        <v>2627.4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2595250</f>
        <v>2595250</v>
      </c>
      <c r="V27" s="24"/>
      <c r="W27" s="24"/>
      <c r="X27" s="25" t="s">
        <v>74</v>
      </c>
      <c r="Y27" s="25"/>
      <c r="Z27" s="25"/>
      <c r="AA27" s="25"/>
      <c r="AB27" s="24">
        <f>2595250</f>
        <v>2595250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2595250</f>
        <v>2595250</v>
      </c>
      <c r="AX27" s="24"/>
      <c r="AY27" s="25" t="s">
        <v>74</v>
      </c>
      <c r="AZ27" s="25"/>
      <c r="BA27" s="24">
        <f>684521.76</f>
        <v>684521.76</v>
      </c>
      <c r="BB27" s="24"/>
      <c r="BC27" s="24"/>
      <c r="BD27" s="25" t="s">
        <v>74</v>
      </c>
      <c r="BE27" s="25"/>
      <c r="BF27" s="24">
        <f>684521.76</f>
        <v>684521.76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684521.76</f>
        <v>684521.76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2595250</f>
        <v>2595250</v>
      </c>
      <c r="V28" s="24"/>
      <c r="W28" s="24"/>
      <c r="X28" s="25" t="s">
        <v>74</v>
      </c>
      <c r="Y28" s="25"/>
      <c r="Z28" s="25"/>
      <c r="AA28" s="25"/>
      <c r="AB28" s="24">
        <f>2595250</f>
        <v>2595250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2595250</f>
        <v>2595250</v>
      </c>
      <c r="AX28" s="24"/>
      <c r="AY28" s="25" t="s">
        <v>74</v>
      </c>
      <c r="AZ28" s="25"/>
      <c r="BA28" s="24">
        <f>684521.76</f>
        <v>684521.76</v>
      </c>
      <c r="BB28" s="24"/>
      <c r="BC28" s="24"/>
      <c r="BD28" s="25" t="s">
        <v>74</v>
      </c>
      <c r="BE28" s="25"/>
      <c r="BF28" s="24">
        <f>684521.76</f>
        <v>684521.76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684521.76</f>
        <v>684521.76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-289340</f>
        <v>-289340</v>
      </c>
      <c r="V29" s="24"/>
      <c r="W29" s="24"/>
      <c r="X29" s="25" t="s">
        <v>74</v>
      </c>
      <c r="Y29" s="25"/>
      <c r="Z29" s="25"/>
      <c r="AA29" s="25"/>
      <c r="AB29" s="24">
        <f>-289340</f>
        <v>-289340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-289340</f>
        <v>-289340</v>
      </c>
      <c r="AX29" s="24"/>
      <c r="AY29" s="25" t="s">
        <v>74</v>
      </c>
      <c r="AZ29" s="25"/>
      <c r="BA29" s="24">
        <f>-82035.78</f>
        <v>-82035.78</v>
      </c>
      <c r="BB29" s="24"/>
      <c r="BC29" s="24"/>
      <c r="BD29" s="25" t="s">
        <v>74</v>
      </c>
      <c r="BE29" s="25"/>
      <c r="BF29" s="24">
        <f>-82035.78</f>
        <v>-82035.78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-82035.78</f>
        <v>-82035.78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-289340</f>
        <v>-289340</v>
      </c>
      <c r="V30" s="24"/>
      <c r="W30" s="24"/>
      <c r="X30" s="25" t="s">
        <v>74</v>
      </c>
      <c r="Y30" s="25"/>
      <c r="Z30" s="25"/>
      <c r="AA30" s="25"/>
      <c r="AB30" s="24">
        <f>-289340</f>
        <v>-289340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-289340</f>
        <v>-289340</v>
      </c>
      <c r="AX30" s="24"/>
      <c r="AY30" s="25" t="s">
        <v>74</v>
      </c>
      <c r="AZ30" s="25"/>
      <c r="BA30" s="24">
        <f>-82035.78</f>
        <v>-82035.78</v>
      </c>
      <c r="BB30" s="24"/>
      <c r="BC30" s="24"/>
      <c r="BD30" s="25" t="s">
        <v>74</v>
      </c>
      <c r="BE30" s="25"/>
      <c r="BF30" s="24">
        <f>-82035.78</f>
        <v>-82035.78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-82035.78</f>
        <v>-82035.78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7000</f>
        <v>7000</v>
      </c>
      <c r="V31" s="24"/>
      <c r="W31" s="24"/>
      <c r="X31" s="25" t="s">
        <v>74</v>
      </c>
      <c r="Y31" s="25"/>
      <c r="Z31" s="25"/>
      <c r="AA31" s="25"/>
      <c r="AB31" s="24">
        <f>7000</f>
        <v>7000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7000</f>
        <v>7000</v>
      </c>
      <c r="AX31" s="24"/>
      <c r="AY31" s="25" t="s">
        <v>74</v>
      </c>
      <c r="AZ31" s="25"/>
      <c r="BA31" s="24">
        <f>3291.6</f>
        <v>3291.6</v>
      </c>
      <c r="BB31" s="24"/>
      <c r="BC31" s="24"/>
      <c r="BD31" s="25" t="s">
        <v>74</v>
      </c>
      <c r="BE31" s="25"/>
      <c r="BF31" s="24">
        <f>3291.6</f>
        <v>3291.6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3291.6</f>
        <v>3291.6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7000</f>
        <v>7000</v>
      </c>
      <c r="V32" s="24"/>
      <c r="W32" s="24"/>
      <c r="X32" s="25" t="s">
        <v>74</v>
      </c>
      <c r="Y32" s="25"/>
      <c r="Z32" s="25"/>
      <c r="AA32" s="25"/>
      <c r="AB32" s="24">
        <f>7000</f>
        <v>7000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7000</f>
        <v>7000</v>
      </c>
      <c r="AX32" s="24"/>
      <c r="AY32" s="25" t="s">
        <v>74</v>
      </c>
      <c r="AZ32" s="25"/>
      <c r="BA32" s="24">
        <f>3291.6</f>
        <v>3291.6</v>
      </c>
      <c r="BB32" s="24"/>
      <c r="BC32" s="24"/>
      <c r="BD32" s="25" t="s">
        <v>74</v>
      </c>
      <c r="BE32" s="25"/>
      <c r="BF32" s="24">
        <f>3291.6</f>
        <v>3291.6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3291.6</f>
        <v>3291.6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7000</f>
        <v>7000</v>
      </c>
      <c r="V33" s="24"/>
      <c r="W33" s="24"/>
      <c r="X33" s="25" t="s">
        <v>74</v>
      </c>
      <c r="Y33" s="25"/>
      <c r="Z33" s="25"/>
      <c r="AA33" s="25"/>
      <c r="AB33" s="24">
        <f>7000</f>
        <v>7000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7000</f>
        <v>7000</v>
      </c>
      <c r="AX33" s="24"/>
      <c r="AY33" s="25" t="s">
        <v>74</v>
      </c>
      <c r="AZ33" s="25"/>
      <c r="BA33" s="24">
        <f>3291.6</f>
        <v>3291.6</v>
      </c>
      <c r="BB33" s="24"/>
      <c r="BC33" s="24"/>
      <c r="BD33" s="25" t="s">
        <v>74</v>
      </c>
      <c r="BE33" s="25"/>
      <c r="BF33" s="24">
        <f>3291.6</f>
        <v>3291.6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3291.6</f>
        <v>3291.6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7278000</f>
        <v>7278000</v>
      </c>
      <c r="V34" s="24"/>
      <c r="W34" s="24"/>
      <c r="X34" s="25" t="s">
        <v>74</v>
      </c>
      <c r="Y34" s="25"/>
      <c r="Z34" s="25"/>
      <c r="AA34" s="25"/>
      <c r="AB34" s="24">
        <f>7278000</f>
        <v>7278000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7278000</f>
        <v>7278000</v>
      </c>
      <c r="AX34" s="24"/>
      <c r="AY34" s="25" t="s">
        <v>74</v>
      </c>
      <c r="AZ34" s="25"/>
      <c r="BA34" s="24">
        <f>528218.71</f>
        <v>528218.71</v>
      </c>
      <c r="BB34" s="24"/>
      <c r="BC34" s="24"/>
      <c r="BD34" s="25" t="s">
        <v>74</v>
      </c>
      <c r="BE34" s="25"/>
      <c r="BF34" s="24">
        <f>528218.71</f>
        <v>528218.71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528218.71</f>
        <v>528218.71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2026000</f>
        <v>2026000</v>
      </c>
      <c r="V35" s="24"/>
      <c r="W35" s="24"/>
      <c r="X35" s="25" t="s">
        <v>74</v>
      </c>
      <c r="Y35" s="25"/>
      <c r="Z35" s="25"/>
      <c r="AA35" s="25"/>
      <c r="AB35" s="24">
        <f>2026000</f>
        <v>2026000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2026000</f>
        <v>2026000</v>
      </c>
      <c r="AX35" s="24"/>
      <c r="AY35" s="25" t="s">
        <v>74</v>
      </c>
      <c r="AZ35" s="25"/>
      <c r="BA35" s="24">
        <f>140386.68</f>
        <v>140386.68</v>
      </c>
      <c r="BB35" s="24"/>
      <c r="BC35" s="24"/>
      <c r="BD35" s="25" t="s">
        <v>74</v>
      </c>
      <c r="BE35" s="25"/>
      <c r="BF35" s="24">
        <f>140386.68</f>
        <v>140386.68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140386.68</f>
        <v>140386.68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2026000</f>
        <v>2026000</v>
      </c>
      <c r="V36" s="24"/>
      <c r="W36" s="24"/>
      <c r="X36" s="25" t="s">
        <v>74</v>
      </c>
      <c r="Y36" s="25"/>
      <c r="Z36" s="25"/>
      <c r="AA36" s="25"/>
      <c r="AB36" s="24">
        <f>2026000</f>
        <v>2026000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2026000</f>
        <v>2026000</v>
      </c>
      <c r="AX36" s="24"/>
      <c r="AY36" s="25" t="s">
        <v>74</v>
      </c>
      <c r="AZ36" s="25"/>
      <c r="BA36" s="24">
        <f>140386.68</f>
        <v>140386.68</v>
      </c>
      <c r="BB36" s="24"/>
      <c r="BC36" s="24"/>
      <c r="BD36" s="25" t="s">
        <v>74</v>
      </c>
      <c r="BE36" s="25"/>
      <c r="BF36" s="24">
        <f>140386.68</f>
        <v>140386.68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140386.68</f>
        <v>140386.68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5252000</f>
        <v>5252000</v>
      </c>
      <c r="V37" s="24"/>
      <c r="W37" s="24"/>
      <c r="X37" s="25" t="s">
        <v>74</v>
      </c>
      <c r="Y37" s="25"/>
      <c r="Z37" s="25"/>
      <c r="AA37" s="25"/>
      <c r="AB37" s="24">
        <f>5252000</f>
        <v>5252000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5252000</f>
        <v>5252000</v>
      </c>
      <c r="AX37" s="24"/>
      <c r="AY37" s="25" t="s">
        <v>74</v>
      </c>
      <c r="AZ37" s="25"/>
      <c r="BA37" s="24">
        <f>387832.03</f>
        <v>387832.03</v>
      </c>
      <c r="BB37" s="24"/>
      <c r="BC37" s="24"/>
      <c r="BD37" s="25" t="s">
        <v>74</v>
      </c>
      <c r="BE37" s="25"/>
      <c r="BF37" s="24">
        <f>387832.03</f>
        <v>387832.03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387832.03</f>
        <v>387832.03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2739000</f>
        <v>2739000</v>
      </c>
      <c r="V38" s="24"/>
      <c r="W38" s="24"/>
      <c r="X38" s="25" t="s">
        <v>74</v>
      </c>
      <c r="Y38" s="25"/>
      <c r="Z38" s="25"/>
      <c r="AA38" s="25"/>
      <c r="AB38" s="24">
        <f>2739000</f>
        <v>2739000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2739000</f>
        <v>2739000</v>
      </c>
      <c r="AX38" s="24"/>
      <c r="AY38" s="25" t="s">
        <v>74</v>
      </c>
      <c r="AZ38" s="25"/>
      <c r="BA38" s="24">
        <f>269293.59</f>
        <v>269293.59</v>
      </c>
      <c r="BB38" s="24"/>
      <c r="BC38" s="24"/>
      <c r="BD38" s="25" t="s">
        <v>74</v>
      </c>
      <c r="BE38" s="25"/>
      <c r="BF38" s="24">
        <f>269293.59</f>
        <v>269293.59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269293.59</f>
        <v>269293.59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2739000</f>
        <v>2739000</v>
      </c>
      <c r="V39" s="24"/>
      <c r="W39" s="24"/>
      <c r="X39" s="25" t="s">
        <v>74</v>
      </c>
      <c r="Y39" s="25"/>
      <c r="Z39" s="25"/>
      <c r="AA39" s="25"/>
      <c r="AB39" s="24">
        <f>2739000</f>
        <v>2739000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2739000</f>
        <v>2739000</v>
      </c>
      <c r="AX39" s="24"/>
      <c r="AY39" s="25" t="s">
        <v>74</v>
      </c>
      <c r="AZ39" s="25"/>
      <c r="BA39" s="24">
        <f>269293.59</f>
        <v>269293.59</v>
      </c>
      <c r="BB39" s="24"/>
      <c r="BC39" s="24"/>
      <c r="BD39" s="25" t="s">
        <v>74</v>
      </c>
      <c r="BE39" s="25"/>
      <c r="BF39" s="24">
        <f>269293.59</f>
        <v>269293.59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269293.59</f>
        <v>269293.59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2513000</f>
        <v>2513000</v>
      </c>
      <c r="V40" s="24"/>
      <c r="W40" s="24"/>
      <c r="X40" s="25" t="s">
        <v>74</v>
      </c>
      <c r="Y40" s="25"/>
      <c r="Z40" s="25"/>
      <c r="AA40" s="25"/>
      <c r="AB40" s="24">
        <f>2513000</f>
        <v>2513000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2513000</f>
        <v>2513000</v>
      </c>
      <c r="AX40" s="24"/>
      <c r="AY40" s="25" t="s">
        <v>74</v>
      </c>
      <c r="AZ40" s="25"/>
      <c r="BA40" s="24">
        <f>118538.44</f>
        <v>118538.44</v>
      </c>
      <c r="BB40" s="24"/>
      <c r="BC40" s="24"/>
      <c r="BD40" s="25" t="s">
        <v>74</v>
      </c>
      <c r="BE40" s="25"/>
      <c r="BF40" s="24">
        <f>118538.44</f>
        <v>118538.44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118538.44</f>
        <v>118538.44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2513000</f>
        <v>2513000</v>
      </c>
      <c r="V41" s="24"/>
      <c r="W41" s="24"/>
      <c r="X41" s="25" t="s">
        <v>74</v>
      </c>
      <c r="Y41" s="25"/>
      <c r="Z41" s="25"/>
      <c r="AA41" s="25"/>
      <c r="AB41" s="24">
        <f>2513000</f>
        <v>2513000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2513000</f>
        <v>2513000</v>
      </c>
      <c r="AX41" s="24"/>
      <c r="AY41" s="25" t="s">
        <v>74</v>
      </c>
      <c r="AZ41" s="25"/>
      <c r="BA41" s="24">
        <f>118538.44</f>
        <v>118538.44</v>
      </c>
      <c r="BB41" s="24"/>
      <c r="BC41" s="24"/>
      <c r="BD41" s="25" t="s">
        <v>74</v>
      </c>
      <c r="BE41" s="25"/>
      <c r="BF41" s="24">
        <f>118538.44</f>
        <v>118538.44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118538.44</f>
        <v>118538.44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5" t="s">
        <v>74</v>
      </c>
      <c r="V42" s="25"/>
      <c r="W42" s="25"/>
      <c r="X42" s="25" t="s">
        <v>74</v>
      </c>
      <c r="Y42" s="25"/>
      <c r="Z42" s="25"/>
      <c r="AA42" s="25"/>
      <c r="AB42" s="25" t="s">
        <v>74</v>
      </c>
      <c r="AC42" s="25"/>
      <c r="AD42" s="25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5" t="s">
        <v>74</v>
      </c>
      <c r="AX42" s="25"/>
      <c r="AY42" s="25" t="s">
        <v>74</v>
      </c>
      <c r="AZ42" s="25"/>
      <c r="BA42" s="24">
        <f>2700</f>
        <v>2700</v>
      </c>
      <c r="BB42" s="24"/>
      <c r="BC42" s="24"/>
      <c r="BD42" s="25" t="s">
        <v>74</v>
      </c>
      <c r="BE42" s="25"/>
      <c r="BF42" s="24">
        <f>2700</f>
        <v>2700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2700</f>
        <v>2700</v>
      </c>
      <c r="BR42" s="24"/>
      <c r="BS42" s="24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5" t="s">
        <v>74</v>
      </c>
      <c r="V43" s="25"/>
      <c r="W43" s="25"/>
      <c r="X43" s="25" t="s">
        <v>74</v>
      </c>
      <c r="Y43" s="25"/>
      <c r="Z43" s="25"/>
      <c r="AA43" s="25"/>
      <c r="AB43" s="25" t="s">
        <v>74</v>
      </c>
      <c r="AC43" s="25"/>
      <c r="AD43" s="25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5" t="s">
        <v>74</v>
      </c>
      <c r="AX43" s="25"/>
      <c r="AY43" s="25" t="s">
        <v>74</v>
      </c>
      <c r="AZ43" s="25"/>
      <c r="BA43" s="24">
        <f>2700</f>
        <v>2700</v>
      </c>
      <c r="BB43" s="24"/>
      <c r="BC43" s="24"/>
      <c r="BD43" s="25" t="s">
        <v>74</v>
      </c>
      <c r="BE43" s="25"/>
      <c r="BF43" s="24">
        <f>2700</f>
        <v>2700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2700</f>
        <v>2700</v>
      </c>
      <c r="BR43" s="24"/>
      <c r="BS43" s="24"/>
      <c r="BT43" s="27" t="s">
        <v>74</v>
      </c>
    </row>
    <row r="44" spans="1:72" s="1" customFormat="1" ht="54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5" t="s">
        <v>74</v>
      </c>
      <c r="V44" s="25"/>
      <c r="W44" s="25"/>
      <c r="X44" s="25" t="s">
        <v>74</v>
      </c>
      <c r="Y44" s="25"/>
      <c r="Z44" s="25"/>
      <c r="AA44" s="25"/>
      <c r="AB44" s="25" t="s">
        <v>74</v>
      </c>
      <c r="AC44" s="25"/>
      <c r="AD44" s="25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5" t="s">
        <v>74</v>
      </c>
      <c r="AX44" s="25"/>
      <c r="AY44" s="25" t="s">
        <v>74</v>
      </c>
      <c r="AZ44" s="25"/>
      <c r="BA44" s="24">
        <f>2700</f>
        <v>2700</v>
      </c>
      <c r="BB44" s="24"/>
      <c r="BC44" s="24"/>
      <c r="BD44" s="25" t="s">
        <v>74</v>
      </c>
      <c r="BE44" s="25"/>
      <c r="BF44" s="24">
        <f>2700</f>
        <v>2700</v>
      </c>
      <c r="BG44" s="24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2700</f>
        <v>2700</v>
      </c>
      <c r="BR44" s="24"/>
      <c r="BS44" s="24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74</v>
      </c>
      <c r="Y45" s="25"/>
      <c r="Z45" s="25"/>
      <c r="AA45" s="25"/>
      <c r="AB45" s="24">
        <f>725000</f>
        <v>725000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725000</f>
        <v>725000</v>
      </c>
      <c r="AX45" s="24"/>
      <c r="AY45" s="25" t="s">
        <v>74</v>
      </c>
      <c r="AZ45" s="25"/>
      <c r="BA45" s="24">
        <f>197227.41</f>
        <v>197227.41</v>
      </c>
      <c r="BB45" s="24"/>
      <c r="BC45" s="24"/>
      <c r="BD45" s="25" t="s">
        <v>74</v>
      </c>
      <c r="BE45" s="25"/>
      <c r="BF45" s="24">
        <f>197227.41</f>
        <v>197227.41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197227.41</f>
        <v>197227.41</v>
      </c>
      <c r="BR45" s="24"/>
      <c r="BS45" s="24"/>
      <c r="BT45" s="27" t="s">
        <v>74</v>
      </c>
    </row>
    <row r="46" spans="1:72" s="1" customFormat="1" ht="66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197227.41</f>
        <v>197227.41</v>
      </c>
      <c r="BB46" s="24"/>
      <c r="BC46" s="24"/>
      <c r="BD46" s="25" t="s">
        <v>74</v>
      </c>
      <c r="BE46" s="25"/>
      <c r="BF46" s="24">
        <f>197227.41</f>
        <v>197227.41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197227.41</f>
        <v>197227.41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197227.41</f>
        <v>197227.41</v>
      </c>
      <c r="BB47" s="24"/>
      <c r="BC47" s="24"/>
      <c r="BD47" s="25" t="s">
        <v>74</v>
      </c>
      <c r="BE47" s="25"/>
      <c r="BF47" s="24">
        <f>197227.41</f>
        <v>197227.41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197227.41</f>
        <v>197227.41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197227.41</f>
        <v>197227.41</v>
      </c>
      <c r="BB48" s="24"/>
      <c r="BC48" s="24"/>
      <c r="BD48" s="25" t="s">
        <v>74</v>
      </c>
      <c r="BE48" s="25"/>
      <c r="BF48" s="24">
        <f>197227.41</f>
        <v>197227.41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197227.41</f>
        <v>197227.41</v>
      </c>
      <c r="BR48" s="24"/>
      <c r="BS48" s="24"/>
      <c r="BT48" s="27" t="s">
        <v>74</v>
      </c>
    </row>
    <row r="49" spans="1:72" s="1" customFormat="1" ht="13.5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>50000</f>
        <v>50000</v>
      </c>
      <c r="V49" s="24"/>
      <c r="W49" s="24"/>
      <c r="X49" s="25" t="s">
        <v>74</v>
      </c>
      <c r="Y49" s="25"/>
      <c r="Z49" s="25"/>
      <c r="AA49" s="25"/>
      <c r="AB49" s="24">
        <f>50000</f>
        <v>50000</v>
      </c>
      <c r="AC49" s="24"/>
      <c r="AD49" s="24"/>
      <c r="AE49" s="28">
        <f>34226453</f>
        <v>34226453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34276453</f>
        <v>34276453</v>
      </c>
      <c r="AX49" s="24"/>
      <c r="AY49" s="25" t="s">
        <v>74</v>
      </c>
      <c r="AZ49" s="25"/>
      <c r="BA49" s="24">
        <f aca="true" t="shared" si="0" ref="BA49:BA56">0</f>
        <v>0</v>
      </c>
      <c r="BB49" s="24"/>
      <c r="BC49" s="24"/>
      <c r="BD49" s="25" t="s">
        <v>74</v>
      </c>
      <c r="BE49" s="25"/>
      <c r="BF49" s="24">
        <f aca="true" t="shared" si="1" ref="BF49:BF56">0</f>
        <v>0</v>
      </c>
      <c r="BG49" s="24"/>
      <c r="BH49" s="28">
        <f>4413374.35</f>
        <v>4413374.35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4413374.35</f>
        <v>4413374.35</v>
      </c>
      <c r="BR49" s="24"/>
      <c r="BS49" s="24"/>
      <c r="BT49" s="27" t="s">
        <v>74</v>
      </c>
    </row>
    <row r="50" spans="1:72" s="1" customFormat="1" ht="24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 aca="true" t="shared" si="2" ref="U50:U68">0</f>
        <v>0</v>
      </c>
      <c r="V50" s="24"/>
      <c r="W50" s="24"/>
      <c r="X50" s="25" t="s">
        <v>74</v>
      </c>
      <c r="Y50" s="25"/>
      <c r="Z50" s="25"/>
      <c r="AA50" s="25"/>
      <c r="AB50" s="24">
        <f aca="true" t="shared" si="3" ref="AB50:AB68">0</f>
        <v>0</v>
      </c>
      <c r="AC50" s="24"/>
      <c r="AD50" s="24"/>
      <c r="AE50" s="28">
        <f>34226453</f>
        <v>34226453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34226453</f>
        <v>34226453</v>
      </c>
      <c r="AX50" s="24"/>
      <c r="AY50" s="25" t="s">
        <v>74</v>
      </c>
      <c r="AZ50" s="25"/>
      <c r="BA50" s="24">
        <f t="shared" si="0"/>
        <v>0</v>
      </c>
      <c r="BB50" s="24"/>
      <c r="BC50" s="24"/>
      <c r="BD50" s="25" t="s">
        <v>74</v>
      </c>
      <c r="BE50" s="25"/>
      <c r="BF50" s="24">
        <f t="shared" si="1"/>
        <v>0</v>
      </c>
      <c r="BG50" s="24"/>
      <c r="BH50" s="28">
        <f>4413374.35</f>
        <v>4413374.35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4413374.35</f>
        <v>4413374.35</v>
      </c>
      <c r="BR50" s="24"/>
      <c r="BS50" s="24"/>
      <c r="BT50" s="27" t="s">
        <v>74</v>
      </c>
    </row>
    <row r="51" spans="1:72" s="1" customFormat="1" ht="24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4">
        <f t="shared" si="2"/>
        <v>0</v>
      </c>
      <c r="V51" s="24"/>
      <c r="W51" s="24"/>
      <c r="X51" s="25" t="s">
        <v>74</v>
      </c>
      <c r="Y51" s="25"/>
      <c r="Z51" s="25"/>
      <c r="AA51" s="25"/>
      <c r="AB51" s="24">
        <f t="shared" si="3"/>
        <v>0</v>
      </c>
      <c r="AC51" s="24"/>
      <c r="AD51" s="24"/>
      <c r="AE51" s="28">
        <f>14464000</f>
        <v>14464000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4">
        <f>14464000</f>
        <v>14464000</v>
      </c>
      <c r="AX51" s="24"/>
      <c r="AY51" s="25" t="s">
        <v>74</v>
      </c>
      <c r="AZ51" s="25"/>
      <c r="BA51" s="24">
        <f t="shared" si="0"/>
        <v>0</v>
      </c>
      <c r="BB51" s="24"/>
      <c r="BC51" s="24"/>
      <c r="BD51" s="25" t="s">
        <v>74</v>
      </c>
      <c r="BE51" s="25"/>
      <c r="BF51" s="24">
        <f t="shared" si="1"/>
        <v>0</v>
      </c>
      <c r="BG51" s="24"/>
      <c r="BH51" s="28">
        <f>3616000</f>
        <v>3616000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3616000</f>
        <v>3616000</v>
      </c>
      <c r="BR51" s="24"/>
      <c r="BS51" s="24"/>
      <c r="BT51" s="27" t="s">
        <v>74</v>
      </c>
    </row>
    <row r="52" spans="1:72" s="1" customFormat="1" ht="13.5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4">
        <f t="shared" si="2"/>
        <v>0</v>
      </c>
      <c r="V52" s="24"/>
      <c r="W52" s="24"/>
      <c r="X52" s="25" t="s">
        <v>74</v>
      </c>
      <c r="Y52" s="25"/>
      <c r="Z52" s="25"/>
      <c r="AA52" s="25"/>
      <c r="AB52" s="24">
        <f t="shared" si="3"/>
        <v>0</v>
      </c>
      <c r="AC52" s="24"/>
      <c r="AD52" s="24"/>
      <c r="AE52" s="28">
        <f>13764000</f>
        <v>13764000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4">
        <f>13764000</f>
        <v>13764000</v>
      </c>
      <c r="AX52" s="24"/>
      <c r="AY52" s="25" t="s">
        <v>74</v>
      </c>
      <c r="AZ52" s="25"/>
      <c r="BA52" s="24">
        <f t="shared" si="0"/>
        <v>0</v>
      </c>
      <c r="BB52" s="24"/>
      <c r="BC52" s="24"/>
      <c r="BD52" s="25" t="s">
        <v>74</v>
      </c>
      <c r="BE52" s="25"/>
      <c r="BF52" s="24">
        <f t="shared" si="1"/>
        <v>0</v>
      </c>
      <c r="BG52" s="24"/>
      <c r="BH52" s="28">
        <f>3441000</f>
        <v>3441000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3441000</f>
        <v>3441000</v>
      </c>
      <c r="BR52" s="24"/>
      <c r="BS52" s="24"/>
      <c r="BT52" s="27" t="s">
        <v>74</v>
      </c>
    </row>
    <row r="53" spans="1:72" s="1" customFormat="1" ht="33.75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 t="shared" si="2"/>
        <v>0</v>
      </c>
      <c r="V53" s="24"/>
      <c r="W53" s="24"/>
      <c r="X53" s="25" t="s">
        <v>74</v>
      </c>
      <c r="Y53" s="25"/>
      <c r="Z53" s="25"/>
      <c r="AA53" s="25"/>
      <c r="AB53" s="24">
        <f t="shared" si="3"/>
        <v>0</v>
      </c>
      <c r="AC53" s="24"/>
      <c r="AD53" s="24"/>
      <c r="AE53" s="28">
        <f>13764000</f>
        <v>13764000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13764000</f>
        <v>13764000</v>
      </c>
      <c r="AX53" s="24"/>
      <c r="AY53" s="25" t="s">
        <v>74</v>
      </c>
      <c r="AZ53" s="25"/>
      <c r="BA53" s="24">
        <f t="shared" si="0"/>
        <v>0</v>
      </c>
      <c r="BB53" s="24"/>
      <c r="BC53" s="24"/>
      <c r="BD53" s="25" t="s">
        <v>74</v>
      </c>
      <c r="BE53" s="25"/>
      <c r="BF53" s="24">
        <f t="shared" si="1"/>
        <v>0</v>
      </c>
      <c r="BG53" s="24"/>
      <c r="BH53" s="28">
        <f>3441000</f>
        <v>3441000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3441000</f>
        <v>3441000</v>
      </c>
      <c r="BR53" s="24"/>
      <c r="BS53" s="24"/>
      <c r="BT53" s="27" t="s">
        <v>74</v>
      </c>
    </row>
    <row r="54" spans="1:72" s="1" customFormat="1" ht="33.75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 t="shared" si="2"/>
        <v>0</v>
      </c>
      <c r="V54" s="24"/>
      <c r="W54" s="24"/>
      <c r="X54" s="25" t="s">
        <v>74</v>
      </c>
      <c r="Y54" s="25"/>
      <c r="Z54" s="25"/>
      <c r="AA54" s="25"/>
      <c r="AB54" s="24">
        <f t="shared" si="3"/>
        <v>0</v>
      </c>
      <c r="AC54" s="24"/>
      <c r="AD54" s="24"/>
      <c r="AE54" s="28">
        <f>700000</f>
        <v>700000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700000</f>
        <v>700000</v>
      </c>
      <c r="AX54" s="24"/>
      <c r="AY54" s="25" t="s">
        <v>74</v>
      </c>
      <c r="AZ54" s="25"/>
      <c r="BA54" s="24">
        <f t="shared" si="0"/>
        <v>0</v>
      </c>
      <c r="BB54" s="24"/>
      <c r="BC54" s="24"/>
      <c r="BD54" s="25" t="s">
        <v>74</v>
      </c>
      <c r="BE54" s="25"/>
      <c r="BF54" s="24">
        <f t="shared" si="1"/>
        <v>0</v>
      </c>
      <c r="BG54" s="24"/>
      <c r="BH54" s="28">
        <f>175000</f>
        <v>175000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175000</f>
        <v>175000</v>
      </c>
      <c r="BR54" s="24"/>
      <c r="BS54" s="24"/>
      <c r="BT54" s="27" t="s">
        <v>74</v>
      </c>
    </row>
    <row r="55" spans="1:72" s="1" customFormat="1" ht="33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 t="shared" si="2"/>
        <v>0</v>
      </c>
      <c r="V55" s="24"/>
      <c r="W55" s="24"/>
      <c r="X55" s="25" t="s">
        <v>74</v>
      </c>
      <c r="Y55" s="25"/>
      <c r="Z55" s="25"/>
      <c r="AA55" s="25"/>
      <c r="AB55" s="24">
        <f t="shared" si="3"/>
        <v>0</v>
      </c>
      <c r="AC55" s="24"/>
      <c r="AD55" s="24"/>
      <c r="AE55" s="28">
        <f>700000</f>
        <v>700000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700000</f>
        <v>700000</v>
      </c>
      <c r="AX55" s="24"/>
      <c r="AY55" s="25" t="s">
        <v>74</v>
      </c>
      <c r="AZ55" s="25"/>
      <c r="BA55" s="24">
        <f t="shared" si="0"/>
        <v>0</v>
      </c>
      <c r="BB55" s="24"/>
      <c r="BC55" s="24"/>
      <c r="BD55" s="25" t="s">
        <v>74</v>
      </c>
      <c r="BE55" s="25"/>
      <c r="BF55" s="24">
        <f t="shared" si="1"/>
        <v>0</v>
      </c>
      <c r="BG55" s="24"/>
      <c r="BH55" s="28">
        <f>175000</f>
        <v>175000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175000</f>
        <v>175000</v>
      </c>
      <c r="BR55" s="24"/>
      <c r="BS55" s="24"/>
      <c r="BT55" s="27" t="s">
        <v>74</v>
      </c>
    </row>
    <row r="56" spans="1:72" s="1" customFormat="1" ht="24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 t="shared" si="2"/>
        <v>0</v>
      </c>
      <c r="V56" s="24"/>
      <c r="W56" s="24"/>
      <c r="X56" s="25" t="s">
        <v>74</v>
      </c>
      <c r="Y56" s="25"/>
      <c r="Z56" s="25"/>
      <c r="AA56" s="25"/>
      <c r="AB56" s="24">
        <f t="shared" si="3"/>
        <v>0</v>
      </c>
      <c r="AC56" s="24"/>
      <c r="AD56" s="24"/>
      <c r="AE56" s="28">
        <f>19384708</f>
        <v>19384708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19384708</f>
        <v>19384708</v>
      </c>
      <c r="AX56" s="24"/>
      <c r="AY56" s="25" t="s">
        <v>74</v>
      </c>
      <c r="AZ56" s="25"/>
      <c r="BA56" s="24">
        <f t="shared" si="0"/>
        <v>0</v>
      </c>
      <c r="BB56" s="24"/>
      <c r="BC56" s="24"/>
      <c r="BD56" s="25" t="s">
        <v>74</v>
      </c>
      <c r="BE56" s="25"/>
      <c r="BF56" s="24">
        <f t="shared" si="1"/>
        <v>0</v>
      </c>
      <c r="BG56" s="24"/>
      <c r="BH56" s="28">
        <f>726847.59</f>
        <v>726847.59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726847.59</f>
        <v>726847.59</v>
      </c>
      <c r="BR56" s="24"/>
      <c r="BS56" s="24"/>
      <c r="BT56" s="27" t="s">
        <v>74</v>
      </c>
    </row>
    <row r="57" spans="1:72" s="1" customFormat="1" ht="54.7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 t="shared" si="2"/>
        <v>0</v>
      </c>
      <c r="V57" s="24"/>
      <c r="W57" s="24"/>
      <c r="X57" s="25" t="s">
        <v>74</v>
      </c>
      <c r="Y57" s="25"/>
      <c r="Z57" s="25"/>
      <c r="AA57" s="25"/>
      <c r="AB57" s="24">
        <f t="shared" si="3"/>
        <v>0</v>
      </c>
      <c r="AC57" s="24"/>
      <c r="AD57" s="24"/>
      <c r="AE57" s="28">
        <f>8947190</f>
        <v>8947190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8947190</f>
        <v>8947190</v>
      </c>
      <c r="AX57" s="24"/>
      <c r="AY57" s="25" t="s">
        <v>74</v>
      </c>
      <c r="AZ57" s="25"/>
      <c r="BA57" s="25" t="s">
        <v>74</v>
      </c>
      <c r="BB57" s="25"/>
      <c r="BC57" s="25"/>
      <c r="BD57" s="25" t="s">
        <v>74</v>
      </c>
      <c r="BE57" s="25"/>
      <c r="BF57" s="25" t="s">
        <v>74</v>
      </c>
      <c r="BG57" s="25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5" t="s">
        <v>74</v>
      </c>
      <c r="BR57" s="25"/>
      <c r="BS57" s="25"/>
      <c r="BT57" s="27" t="s">
        <v>74</v>
      </c>
    </row>
    <row r="58" spans="1:72" s="1" customFormat="1" ht="54.75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t="shared" si="2"/>
        <v>0</v>
      </c>
      <c r="V58" s="24"/>
      <c r="W58" s="24"/>
      <c r="X58" s="25" t="s">
        <v>74</v>
      </c>
      <c r="Y58" s="25"/>
      <c r="Z58" s="25"/>
      <c r="AA58" s="25"/>
      <c r="AB58" s="24">
        <f t="shared" si="3"/>
        <v>0</v>
      </c>
      <c r="AC58" s="24"/>
      <c r="AD58" s="24"/>
      <c r="AE58" s="28">
        <f>8947190</f>
        <v>8947190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8947190</f>
        <v>8947190</v>
      </c>
      <c r="AX58" s="24"/>
      <c r="AY58" s="25" t="s">
        <v>74</v>
      </c>
      <c r="AZ58" s="25"/>
      <c r="BA58" s="25" t="s">
        <v>74</v>
      </c>
      <c r="BB58" s="25"/>
      <c r="BC58" s="25"/>
      <c r="BD58" s="25" t="s">
        <v>74</v>
      </c>
      <c r="BE58" s="25"/>
      <c r="BF58" s="25" t="s">
        <v>74</v>
      </c>
      <c r="BG58" s="25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5" t="s">
        <v>74</v>
      </c>
      <c r="BR58" s="25"/>
      <c r="BS58" s="25"/>
      <c r="BT58" s="27" t="s">
        <v>74</v>
      </c>
    </row>
    <row r="59" spans="1:72" s="1" customFormat="1" ht="24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2"/>
        <v>0</v>
      </c>
      <c r="V59" s="24"/>
      <c r="W59" s="24"/>
      <c r="X59" s="25" t="s">
        <v>74</v>
      </c>
      <c r="Y59" s="25"/>
      <c r="Z59" s="25"/>
      <c r="AA59" s="25"/>
      <c r="AB59" s="24">
        <f t="shared" si="3"/>
        <v>0</v>
      </c>
      <c r="AC59" s="24"/>
      <c r="AD59" s="24"/>
      <c r="AE59" s="28">
        <f>567139</f>
        <v>567139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567139</f>
        <v>567139</v>
      </c>
      <c r="AX59" s="24"/>
      <c r="AY59" s="25" t="s">
        <v>74</v>
      </c>
      <c r="AZ59" s="25"/>
      <c r="BA59" s="24">
        <f>0</f>
        <v>0</v>
      </c>
      <c r="BB59" s="24"/>
      <c r="BC59" s="24"/>
      <c r="BD59" s="25" t="s">
        <v>74</v>
      </c>
      <c r="BE59" s="25"/>
      <c r="BF59" s="24">
        <f>0</f>
        <v>0</v>
      </c>
      <c r="BG59" s="24"/>
      <c r="BH59" s="28">
        <f>726847.59</f>
        <v>726847.59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726847.59</f>
        <v>726847.59</v>
      </c>
      <c r="BR59" s="24"/>
      <c r="BS59" s="24"/>
      <c r="BT59" s="27" t="s">
        <v>74</v>
      </c>
    </row>
    <row r="60" spans="1:72" s="1" customFormat="1" ht="24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 t="shared" si="2"/>
        <v>0</v>
      </c>
      <c r="V60" s="24"/>
      <c r="W60" s="24"/>
      <c r="X60" s="25" t="s">
        <v>74</v>
      </c>
      <c r="Y60" s="25"/>
      <c r="Z60" s="25"/>
      <c r="AA60" s="25"/>
      <c r="AB60" s="24">
        <f t="shared" si="3"/>
        <v>0</v>
      </c>
      <c r="AC60" s="24"/>
      <c r="AD60" s="24"/>
      <c r="AE60" s="28">
        <f>567139</f>
        <v>567139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567139</f>
        <v>567139</v>
      </c>
      <c r="AX60" s="24"/>
      <c r="AY60" s="25" t="s">
        <v>74</v>
      </c>
      <c r="AZ60" s="25"/>
      <c r="BA60" s="24">
        <f>0</f>
        <v>0</v>
      </c>
      <c r="BB60" s="24"/>
      <c r="BC60" s="24"/>
      <c r="BD60" s="25" t="s">
        <v>74</v>
      </c>
      <c r="BE60" s="25"/>
      <c r="BF60" s="24">
        <f>0</f>
        <v>0</v>
      </c>
      <c r="BG60" s="24"/>
      <c r="BH60" s="28">
        <f>726847.59</f>
        <v>726847.59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726847.59</f>
        <v>726847.59</v>
      </c>
      <c r="BR60" s="24"/>
      <c r="BS60" s="24"/>
      <c r="BT60" s="27" t="s">
        <v>74</v>
      </c>
    </row>
    <row r="61" spans="1:72" s="1" customFormat="1" ht="24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 t="shared" si="2"/>
        <v>0</v>
      </c>
      <c r="V61" s="24"/>
      <c r="W61" s="24"/>
      <c r="X61" s="25" t="s">
        <v>74</v>
      </c>
      <c r="Y61" s="25"/>
      <c r="Z61" s="25"/>
      <c r="AA61" s="25"/>
      <c r="AB61" s="24">
        <f t="shared" si="3"/>
        <v>0</v>
      </c>
      <c r="AC61" s="24"/>
      <c r="AD61" s="24"/>
      <c r="AE61" s="28">
        <f>9870379</f>
        <v>9870379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9870379</f>
        <v>9870379</v>
      </c>
      <c r="AX61" s="24"/>
      <c r="AY61" s="25" t="s">
        <v>74</v>
      </c>
      <c r="AZ61" s="25"/>
      <c r="BA61" s="25" t="s">
        <v>74</v>
      </c>
      <c r="BB61" s="25"/>
      <c r="BC61" s="25"/>
      <c r="BD61" s="25" t="s">
        <v>74</v>
      </c>
      <c r="BE61" s="25"/>
      <c r="BF61" s="25" t="s">
        <v>74</v>
      </c>
      <c r="BG61" s="25"/>
      <c r="BH61" s="26" t="s">
        <v>74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5" t="s">
        <v>74</v>
      </c>
      <c r="BR61" s="25"/>
      <c r="BS61" s="25"/>
      <c r="BT61" s="27" t="s">
        <v>74</v>
      </c>
    </row>
    <row r="62" spans="1:72" s="1" customFormat="1" ht="24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t="shared" si="2"/>
        <v>0</v>
      </c>
      <c r="V62" s="24"/>
      <c r="W62" s="24"/>
      <c r="X62" s="25" t="s">
        <v>74</v>
      </c>
      <c r="Y62" s="25"/>
      <c r="Z62" s="25"/>
      <c r="AA62" s="25"/>
      <c r="AB62" s="24">
        <f t="shared" si="3"/>
        <v>0</v>
      </c>
      <c r="AC62" s="24"/>
      <c r="AD62" s="24"/>
      <c r="AE62" s="28">
        <f>9870379</f>
        <v>9870379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9870379</f>
        <v>9870379</v>
      </c>
      <c r="AX62" s="24"/>
      <c r="AY62" s="25" t="s">
        <v>74</v>
      </c>
      <c r="AZ62" s="25"/>
      <c r="BA62" s="25" t="s">
        <v>74</v>
      </c>
      <c r="BB62" s="25"/>
      <c r="BC62" s="25"/>
      <c r="BD62" s="25" t="s">
        <v>74</v>
      </c>
      <c r="BE62" s="25"/>
      <c r="BF62" s="25" t="s">
        <v>74</v>
      </c>
      <c r="BG62" s="25"/>
      <c r="BH62" s="26" t="s">
        <v>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5" t="s">
        <v>74</v>
      </c>
      <c r="BR62" s="25"/>
      <c r="BS62" s="25"/>
      <c r="BT62" s="27" t="s">
        <v>74</v>
      </c>
    </row>
    <row r="63" spans="1:72" s="1" customFormat="1" ht="24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2"/>
        <v>0</v>
      </c>
      <c r="V63" s="24"/>
      <c r="W63" s="24"/>
      <c r="X63" s="25" t="s">
        <v>74</v>
      </c>
      <c r="Y63" s="25"/>
      <c r="Z63" s="25"/>
      <c r="AA63" s="25"/>
      <c r="AB63" s="24">
        <f t="shared" si="3"/>
        <v>0</v>
      </c>
      <c r="AC63" s="24"/>
      <c r="AD63" s="24"/>
      <c r="AE63" s="28">
        <f>293942</f>
        <v>293942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293942</f>
        <v>293942</v>
      </c>
      <c r="AX63" s="24"/>
      <c r="AY63" s="25" t="s">
        <v>74</v>
      </c>
      <c r="AZ63" s="25"/>
      <c r="BA63" s="24">
        <f>0</f>
        <v>0</v>
      </c>
      <c r="BB63" s="24"/>
      <c r="BC63" s="24"/>
      <c r="BD63" s="25" t="s">
        <v>74</v>
      </c>
      <c r="BE63" s="25"/>
      <c r="BF63" s="24">
        <f>0</f>
        <v>0</v>
      </c>
      <c r="BG63" s="24"/>
      <c r="BH63" s="28">
        <f>70526.76</f>
        <v>70526.76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70526.76</f>
        <v>70526.76</v>
      </c>
      <c r="BR63" s="24"/>
      <c r="BS63" s="24"/>
      <c r="BT63" s="27" t="s">
        <v>74</v>
      </c>
    </row>
    <row r="64" spans="1:72" s="1" customFormat="1" ht="33.7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2"/>
        <v>0</v>
      </c>
      <c r="V64" s="24"/>
      <c r="W64" s="24"/>
      <c r="X64" s="25" t="s">
        <v>74</v>
      </c>
      <c r="Y64" s="25"/>
      <c r="Z64" s="25"/>
      <c r="AA64" s="25"/>
      <c r="AB64" s="24">
        <f t="shared" si="3"/>
        <v>0</v>
      </c>
      <c r="AC64" s="24"/>
      <c r="AD64" s="24"/>
      <c r="AE64" s="28">
        <f>293942</f>
        <v>293942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293942</f>
        <v>293942</v>
      </c>
      <c r="AX64" s="24"/>
      <c r="AY64" s="25" t="s">
        <v>74</v>
      </c>
      <c r="AZ64" s="25"/>
      <c r="BA64" s="24">
        <f>0</f>
        <v>0</v>
      </c>
      <c r="BB64" s="24"/>
      <c r="BC64" s="24"/>
      <c r="BD64" s="25" t="s">
        <v>74</v>
      </c>
      <c r="BE64" s="25"/>
      <c r="BF64" s="24">
        <f>0</f>
        <v>0</v>
      </c>
      <c r="BG64" s="24"/>
      <c r="BH64" s="28">
        <f>70526.76</f>
        <v>70526.76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70526.76</f>
        <v>70526.76</v>
      </c>
      <c r="BR64" s="24"/>
      <c r="BS64" s="24"/>
      <c r="BT64" s="27" t="s">
        <v>74</v>
      </c>
    </row>
    <row r="65" spans="1:72" s="1" customFormat="1" ht="4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2"/>
        <v>0</v>
      </c>
      <c r="V65" s="24"/>
      <c r="W65" s="24"/>
      <c r="X65" s="25" t="s">
        <v>74</v>
      </c>
      <c r="Y65" s="25"/>
      <c r="Z65" s="25"/>
      <c r="AA65" s="25"/>
      <c r="AB65" s="24">
        <f t="shared" si="3"/>
        <v>0</v>
      </c>
      <c r="AC65" s="24"/>
      <c r="AD65" s="24"/>
      <c r="AE65" s="28">
        <f>293942</f>
        <v>293942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293942</f>
        <v>293942</v>
      </c>
      <c r="AX65" s="24"/>
      <c r="AY65" s="25" t="s">
        <v>74</v>
      </c>
      <c r="AZ65" s="25"/>
      <c r="BA65" s="24">
        <f>0</f>
        <v>0</v>
      </c>
      <c r="BB65" s="24"/>
      <c r="BC65" s="24"/>
      <c r="BD65" s="25" t="s">
        <v>74</v>
      </c>
      <c r="BE65" s="25"/>
      <c r="BF65" s="24">
        <f>0</f>
        <v>0</v>
      </c>
      <c r="BG65" s="24"/>
      <c r="BH65" s="28">
        <f>70526.76</f>
        <v>70526.76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70526.76</f>
        <v>70526.76</v>
      </c>
      <c r="BR65" s="24"/>
      <c r="BS65" s="24"/>
      <c r="BT65" s="27" t="s">
        <v>74</v>
      </c>
    </row>
    <row r="66" spans="1:72" s="1" customFormat="1" ht="13.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2"/>
        <v>0</v>
      </c>
      <c r="V66" s="24"/>
      <c r="W66" s="24"/>
      <c r="X66" s="25" t="s">
        <v>74</v>
      </c>
      <c r="Y66" s="25"/>
      <c r="Z66" s="25"/>
      <c r="AA66" s="25"/>
      <c r="AB66" s="24">
        <f t="shared" si="3"/>
        <v>0</v>
      </c>
      <c r="AC66" s="24"/>
      <c r="AD66" s="24"/>
      <c r="AE66" s="28">
        <f>83803</f>
        <v>83803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83803</f>
        <v>83803</v>
      </c>
      <c r="AX66" s="24"/>
      <c r="AY66" s="25" t="s">
        <v>74</v>
      </c>
      <c r="AZ66" s="25"/>
      <c r="BA66" s="25" t="s">
        <v>74</v>
      </c>
      <c r="BB66" s="25"/>
      <c r="BC66" s="25"/>
      <c r="BD66" s="25" t="s">
        <v>74</v>
      </c>
      <c r="BE66" s="25"/>
      <c r="BF66" s="25" t="s">
        <v>74</v>
      </c>
      <c r="BG66" s="25"/>
      <c r="BH66" s="26" t="s">
        <v>74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5" t="s">
        <v>74</v>
      </c>
      <c r="BR66" s="25"/>
      <c r="BS66" s="25"/>
      <c r="BT66" s="27" t="s">
        <v>74</v>
      </c>
    </row>
    <row r="67" spans="1:72" s="1" customFormat="1" ht="24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2"/>
        <v>0</v>
      </c>
      <c r="V67" s="24"/>
      <c r="W67" s="24"/>
      <c r="X67" s="25" t="s">
        <v>74</v>
      </c>
      <c r="Y67" s="25"/>
      <c r="Z67" s="25"/>
      <c r="AA67" s="25"/>
      <c r="AB67" s="24">
        <f t="shared" si="3"/>
        <v>0</v>
      </c>
      <c r="AC67" s="24"/>
      <c r="AD67" s="24"/>
      <c r="AE67" s="28">
        <f>83803</f>
        <v>83803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83803</f>
        <v>83803</v>
      </c>
      <c r="AX67" s="24"/>
      <c r="AY67" s="25" t="s">
        <v>74</v>
      </c>
      <c r="AZ67" s="25"/>
      <c r="BA67" s="25" t="s">
        <v>74</v>
      </c>
      <c r="BB67" s="25"/>
      <c r="BC67" s="25"/>
      <c r="BD67" s="25" t="s">
        <v>74</v>
      </c>
      <c r="BE67" s="25"/>
      <c r="BF67" s="25" t="s">
        <v>74</v>
      </c>
      <c r="BG67" s="25"/>
      <c r="BH67" s="26" t="s">
        <v>74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5" t="s">
        <v>74</v>
      </c>
      <c r="BR67" s="25"/>
      <c r="BS67" s="25"/>
      <c r="BT67" s="27" t="s">
        <v>74</v>
      </c>
    </row>
    <row r="68" spans="1:72" s="1" customFormat="1" ht="24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2"/>
        <v>0</v>
      </c>
      <c r="V68" s="24"/>
      <c r="W68" s="24"/>
      <c r="X68" s="25" t="s">
        <v>74</v>
      </c>
      <c r="Y68" s="25"/>
      <c r="Z68" s="25"/>
      <c r="AA68" s="25"/>
      <c r="AB68" s="24">
        <f t="shared" si="3"/>
        <v>0</v>
      </c>
      <c r="AC68" s="24"/>
      <c r="AD68" s="24"/>
      <c r="AE68" s="28">
        <f>83803</f>
        <v>83803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83803</f>
        <v>83803</v>
      </c>
      <c r="AX68" s="24"/>
      <c r="AY68" s="25" t="s">
        <v>74</v>
      </c>
      <c r="AZ68" s="25"/>
      <c r="BA68" s="25" t="s">
        <v>74</v>
      </c>
      <c r="BB68" s="25"/>
      <c r="BC68" s="25"/>
      <c r="BD68" s="25" t="s">
        <v>74</v>
      </c>
      <c r="BE68" s="25"/>
      <c r="BF68" s="25" t="s">
        <v>74</v>
      </c>
      <c r="BG68" s="25"/>
      <c r="BH68" s="26" t="s">
        <v>74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5" t="s">
        <v>74</v>
      </c>
      <c r="BR68" s="25"/>
      <c r="BS68" s="25"/>
      <c r="BT68" s="27" t="s">
        <v>74</v>
      </c>
    </row>
    <row r="69" spans="1:72" s="1" customFormat="1" ht="13.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>50000</f>
        <v>50000</v>
      </c>
      <c r="V69" s="24"/>
      <c r="W69" s="24"/>
      <c r="X69" s="25" t="s">
        <v>74</v>
      </c>
      <c r="Y69" s="25"/>
      <c r="Z69" s="25"/>
      <c r="AA69" s="25"/>
      <c r="AB69" s="24">
        <f>50000</f>
        <v>50000</v>
      </c>
      <c r="AC69" s="24"/>
      <c r="AD69" s="24"/>
      <c r="AE69" s="26" t="s">
        <v>74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50000</f>
        <v>50000</v>
      </c>
      <c r="AX69" s="24"/>
      <c r="AY69" s="25" t="s">
        <v>74</v>
      </c>
      <c r="AZ69" s="25"/>
      <c r="BA69" s="25" t="s">
        <v>74</v>
      </c>
      <c r="BB69" s="25"/>
      <c r="BC69" s="25"/>
      <c r="BD69" s="25" t="s">
        <v>74</v>
      </c>
      <c r="BE69" s="25"/>
      <c r="BF69" s="25" t="s">
        <v>74</v>
      </c>
      <c r="BG69" s="25"/>
      <c r="BH69" s="26" t="s">
        <v>74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5" t="s">
        <v>74</v>
      </c>
      <c r="BR69" s="25"/>
      <c r="BS69" s="25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>50000</f>
        <v>50000</v>
      </c>
      <c r="V70" s="24"/>
      <c r="W70" s="24"/>
      <c r="X70" s="25" t="s">
        <v>74</v>
      </c>
      <c r="Y70" s="25"/>
      <c r="Z70" s="25"/>
      <c r="AA70" s="25"/>
      <c r="AB70" s="24">
        <f>50000</f>
        <v>50000</v>
      </c>
      <c r="AC70" s="24"/>
      <c r="AD70" s="24"/>
      <c r="AE70" s="26" t="s">
        <v>74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50000</f>
        <v>50000</v>
      </c>
      <c r="AX70" s="24"/>
      <c r="AY70" s="25" t="s">
        <v>74</v>
      </c>
      <c r="AZ70" s="25"/>
      <c r="BA70" s="25" t="s">
        <v>74</v>
      </c>
      <c r="BB70" s="25"/>
      <c r="BC70" s="25"/>
      <c r="BD70" s="25" t="s">
        <v>74</v>
      </c>
      <c r="BE70" s="25"/>
      <c r="BF70" s="25" t="s">
        <v>74</v>
      </c>
      <c r="BG70" s="25"/>
      <c r="BH70" s="26" t="s">
        <v>74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5" t="s">
        <v>74</v>
      </c>
      <c r="BR70" s="25"/>
      <c r="BS70" s="25"/>
      <c r="BT70" s="27" t="s">
        <v>74</v>
      </c>
    </row>
    <row r="71" spans="1:72" s="1" customFormat="1" ht="24" customHeight="1">
      <c r="A71" s="16" t="s">
        <v>186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188</v>
      </c>
      <c r="Q71" s="23"/>
      <c r="R71" s="23"/>
      <c r="S71" s="23"/>
      <c r="T71" s="23"/>
      <c r="U71" s="24">
        <f>50000</f>
        <v>50000</v>
      </c>
      <c r="V71" s="24"/>
      <c r="W71" s="24"/>
      <c r="X71" s="25" t="s">
        <v>74</v>
      </c>
      <c r="Y71" s="25"/>
      <c r="Z71" s="25"/>
      <c r="AA71" s="25"/>
      <c r="AB71" s="24">
        <f>50000</f>
        <v>50000</v>
      </c>
      <c r="AC71" s="24"/>
      <c r="AD71" s="24"/>
      <c r="AE71" s="26" t="s">
        <v>74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50000</f>
        <v>50000</v>
      </c>
      <c r="AX71" s="24"/>
      <c r="AY71" s="25" t="s">
        <v>74</v>
      </c>
      <c r="AZ71" s="25"/>
      <c r="BA71" s="25" t="s">
        <v>74</v>
      </c>
      <c r="BB71" s="25"/>
      <c r="BC71" s="25"/>
      <c r="BD71" s="25" t="s">
        <v>74</v>
      </c>
      <c r="BE71" s="25"/>
      <c r="BF71" s="25" t="s">
        <v>74</v>
      </c>
      <c r="BG71" s="25"/>
      <c r="BH71" s="26" t="s">
        <v>74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5" t="s">
        <v>74</v>
      </c>
      <c r="BR71" s="25"/>
      <c r="BS71" s="25"/>
      <c r="BT71" s="27" t="s">
        <v>74</v>
      </c>
    </row>
    <row r="72" spans="1:72" s="1" customFormat="1" ht="13.5" customHeight="1">
      <c r="A72" s="29" t="s">
        <v>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0" t="s">
        <v>9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</row>
    <row r="73" spans="1:72" s="1" customFormat="1" ht="15.75" customHeight="1">
      <c r="A73" s="12" t="s">
        <v>189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1:72" s="1" customFormat="1" ht="28.5" customHeight="1">
      <c r="A74" s="3" t="s">
        <v>21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 t="s">
        <v>22</v>
      </c>
      <c r="N74" s="3"/>
      <c r="O74" s="3"/>
      <c r="P74" s="3" t="s">
        <v>23</v>
      </c>
      <c r="Q74" s="3"/>
      <c r="R74" s="3"/>
      <c r="S74" s="3"/>
      <c r="T74" s="3"/>
      <c r="U74" s="3" t="s">
        <v>24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 t="s">
        <v>39</v>
      </c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s="1" customFormat="1" ht="126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3" t="s">
        <v>25</v>
      </c>
      <c r="V75" s="13"/>
      <c r="W75" s="13"/>
      <c r="X75" s="13" t="s">
        <v>26</v>
      </c>
      <c r="Y75" s="13"/>
      <c r="Z75" s="13"/>
      <c r="AA75" s="13"/>
      <c r="AB75" s="13" t="s">
        <v>27</v>
      </c>
      <c r="AC75" s="13"/>
      <c r="AD75" s="13"/>
      <c r="AE75" s="14" t="s">
        <v>28</v>
      </c>
      <c r="AF75" s="14" t="s">
        <v>29</v>
      </c>
      <c r="AG75" s="13" t="s">
        <v>30</v>
      </c>
      <c r="AH75" s="13"/>
      <c r="AI75" s="13"/>
      <c r="AJ75" s="13" t="s">
        <v>31</v>
      </c>
      <c r="AK75" s="13"/>
      <c r="AL75" s="13" t="s">
        <v>32</v>
      </c>
      <c r="AM75" s="13"/>
      <c r="AN75" s="13" t="s">
        <v>33</v>
      </c>
      <c r="AO75" s="13"/>
      <c r="AP75" s="13" t="s">
        <v>34</v>
      </c>
      <c r="AQ75" s="13"/>
      <c r="AR75" s="13"/>
      <c r="AS75" s="14" t="s">
        <v>35</v>
      </c>
      <c r="AT75" s="13" t="s">
        <v>36</v>
      </c>
      <c r="AU75" s="13"/>
      <c r="AV75" s="13"/>
      <c r="AW75" s="13" t="s">
        <v>37</v>
      </c>
      <c r="AX75" s="13"/>
      <c r="AY75" s="13" t="s">
        <v>38</v>
      </c>
      <c r="AZ75" s="13"/>
      <c r="BA75" s="13" t="s">
        <v>25</v>
      </c>
      <c r="BB75" s="13"/>
      <c r="BC75" s="13"/>
      <c r="BD75" s="13" t="s">
        <v>26</v>
      </c>
      <c r="BE75" s="13"/>
      <c r="BF75" s="13" t="s">
        <v>27</v>
      </c>
      <c r="BG75" s="13"/>
      <c r="BH75" s="14" t="s">
        <v>28</v>
      </c>
      <c r="BI75" s="14" t="s">
        <v>29</v>
      </c>
      <c r="BJ75" s="14" t="s">
        <v>30</v>
      </c>
      <c r="BK75" s="14" t="s">
        <v>31</v>
      </c>
      <c r="BL75" s="14" t="s">
        <v>32</v>
      </c>
      <c r="BM75" s="14" t="s">
        <v>33</v>
      </c>
      <c r="BN75" s="14" t="s">
        <v>34</v>
      </c>
      <c r="BO75" s="14" t="s">
        <v>35</v>
      </c>
      <c r="BP75" s="14" t="s">
        <v>36</v>
      </c>
      <c r="BQ75" s="13" t="s">
        <v>37</v>
      </c>
      <c r="BR75" s="13"/>
      <c r="BS75" s="13"/>
      <c r="BT75" s="14" t="s">
        <v>38</v>
      </c>
    </row>
    <row r="76" spans="1:72" s="1" customFormat="1" ht="13.5" customHeight="1">
      <c r="A76" s="3" t="s">
        <v>40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 t="s">
        <v>41</v>
      </c>
      <c r="N76" s="3"/>
      <c r="O76" s="3"/>
      <c r="P76" s="3" t="s">
        <v>42</v>
      </c>
      <c r="Q76" s="3"/>
      <c r="R76" s="3"/>
      <c r="S76" s="3"/>
      <c r="T76" s="3"/>
      <c r="U76" s="3" t="s">
        <v>43</v>
      </c>
      <c r="V76" s="3"/>
      <c r="W76" s="3"/>
      <c r="X76" s="3" t="s">
        <v>44</v>
      </c>
      <c r="Y76" s="3"/>
      <c r="Z76" s="3"/>
      <c r="AA76" s="3"/>
      <c r="AB76" s="3" t="s">
        <v>45</v>
      </c>
      <c r="AC76" s="3"/>
      <c r="AD76" s="3"/>
      <c r="AE76" s="15" t="s">
        <v>46</v>
      </c>
      <c r="AF76" s="15" t="s">
        <v>47</v>
      </c>
      <c r="AG76" s="3" t="s">
        <v>48</v>
      </c>
      <c r="AH76" s="3"/>
      <c r="AI76" s="3"/>
      <c r="AJ76" s="3" t="s">
        <v>49</v>
      </c>
      <c r="AK76" s="3"/>
      <c r="AL76" s="3" t="s">
        <v>50</v>
      </c>
      <c r="AM76" s="3"/>
      <c r="AN76" s="3" t="s">
        <v>51</v>
      </c>
      <c r="AO76" s="3"/>
      <c r="AP76" s="3" t="s">
        <v>52</v>
      </c>
      <c r="AQ76" s="3"/>
      <c r="AR76" s="3"/>
      <c r="AS76" s="15" t="s">
        <v>53</v>
      </c>
      <c r="AT76" s="3" t="s">
        <v>54</v>
      </c>
      <c r="AU76" s="3"/>
      <c r="AV76" s="3"/>
      <c r="AW76" s="3" t="s">
        <v>55</v>
      </c>
      <c r="AX76" s="3"/>
      <c r="AY76" s="3" t="s">
        <v>56</v>
      </c>
      <c r="AZ76" s="3"/>
      <c r="BA76" s="3" t="s">
        <v>57</v>
      </c>
      <c r="BB76" s="3"/>
      <c r="BC76" s="3"/>
      <c r="BD76" s="3" t="s">
        <v>58</v>
      </c>
      <c r="BE76" s="3"/>
      <c r="BF76" s="3" t="s">
        <v>59</v>
      </c>
      <c r="BG76" s="3"/>
      <c r="BH76" s="15" t="s">
        <v>60</v>
      </c>
      <c r="BI76" s="15" t="s">
        <v>61</v>
      </c>
      <c r="BJ76" s="15" t="s">
        <v>62</v>
      </c>
      <c r="BK76" s="15" t="s">
        <v>63</v>
      </c>
      <c r="BL76" s="15" t="s">
        <v>64</v>
      </c>
      <c r="BM76" s="15" t="s">
        <v>65</v>
      </c>
      <c r="BN76" s="15" t="s">
        <v>66</v>
      </c>
      <c r="BO76" s="15" t="s">
        <v>67</v>
      </c>
      <c r="BP76" s="15" t="s">
        <v>68</v>
      </c>
      <c r="BQ76" s="3" t="s">
        <v>69</v>
      </c>
      <c r="BR76" s="3"/>
      <c r="BS76" s="3"/>
      <c r="BT76" s="15" t="s">
        <v>70</v>
      </c>
    </row>
    <row r="77" spans="1:72" s="1" customFormat="1" ht="24" customHeight="1">
      <c r="A77" s="16" t="s">
        <v>190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 t="s">
        <v>191</v>
      </c>
      <c r="N77" s="17"/>
      <c r="O77" s="17"/>
      <c r="P77" s="17" t="s">
        <v>73</v>
      </c>
      <c r="Q77" s="17"/>
      <c r="R77" s="17"/>
      <c r="S77" s="17"/>
      <c r="T77" s="17"/>
      <c r="U77" s="18">
        <f>56398507.87</f>
        <v>56398507.87</v>
      </c>
      <c r="V77" s="18"/>
      <c r="W77" s="18"/>
      <c r="X77" s="19" t="s">
        <v>74</v>
      </c>
      <c r="Y77" s="19"/>
      <c r="Z77" s="19"/>
      <c r="AA77" s="19"/>
      <c r="AB77" s="18">
        <f>56398507.87</f>
        <v>56398507.87</v>
      </c>
      <c r="AC77" s="18"/>
      <c r="AD77" s="18"/>
      <c r="AE77" s="20">
        <f>162094</f>
        <v>162094</v>
      </c>
      <c r="AF77" s="21" t="s">
        <v>74</v>
      </c>
      <c r="AG77" s="19" t="s">
        <v>74</v>
      </c>
      <c r="AH77" s="19"/>
      <c r="AI77" s="19"/>
      <c r="AJ77" s="19" t="s">
        <v>74</v>
      </c>
      <c r="AK77" s="19"/>
      <c r="AL77" s="19" t="s">
        <v>74</v>
      </c>
      <c r="AM77" s="19"/>
      <c r="AN77" s="19" t="s">
        <v>74</v>
      </c>
      <c r="AO77" s="19"/>
      <c r="AP77" s="19" t="s">
        <v>74</v>
      </c>
      <c r="AQ77" s="19"/>
      <c r="AR77" s="19"/>
      <c r="AS77" s="21" t="s">
        <v>74</v>
      </c>
      <c r="AT77" s="19" t="s">
        <v>74</v>
      </c>
      <c r="AU77" s="19"/>
      <c r="AV77" s="19"/>
      <c r="AW77" s="18">
        <f>56560601.87</f>
        <v>56560601.87</v>
      </c>
      <c r="AX77" s="18"/>
      <c r="AY77" s="19" t="s">
        <v>74</v>
      </c>
      <c r="AZ77" s="19"/>
      <c r="BA77" s="18">
        <f>6880922.95</f>
        <v>6880922.95</v>
      </c>
      <c r="BB77" s="18"/>
      <c r="BC77" s="18"/>
      <c r="BD77" s="19" t="s">
        <v>74</v>
      </c>
      <c r="BE77" s="19"/>
      <c r="BF77" s="18">
        <f>6880922.95</f>
        <v>6880922.95</v>
      </c>
      <c r="BG77" s="18"/>
      <c r="BH77" s="20">
        <f>28173</f>
        <v>28173</v>
      </c>
      <c r="BI77" s="21" t="s">
        <v>74</v>
      </c>
      <c r="BJ77" s="21" t="s">
        <v>74</v>
      </c>
      <c r="BK77" s="21" t="s">
        <v>74</v>
      </c>
      <c r="BL77" s="21" t="s">
        <v>74</v>
      </c>
      <c r="BM77" s="21" t="s">
        <v>74</v>
      </c>
      <c r="BN77" s="21" t="s">
        <v>74</v>
      </c>
      <c r="BO77" s="21" t="s">
        <v>74</v>
      </c>
      <c r="BP77" s="21" t="s">
        <v>74</v>
      </c>
      <c r="BQ77" s="18">
        <f>6909095.95</f>
        <v>6909095.95</v>
      </c>
      <c r="BR77" s="18"/>
      <c r="BS77" s="18"/>
      <c r="BT77" s="22" t="s">
        <v>74</v>
      </c>
    </row>
    <row r="78" spans="1:72" s="1" customFormat="1" ht="13.5" customHeight="1">
      <c r="A78" s="16" t="s">
        <v>192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191</v>
      </c>
      <c r="N78" s="23"/>
      <c r="O78" s="23"/>
      <c r="P78" s="31" t="s">
        <v>193</v>
      </c>
      <c r="Q78" s="31"/>
      <c r="R78" s="31"/>
      <c r="S78" s="31"/>
      <c r="T78" s="31"/>
      <c r="U78" s="24">
        <f>14979455</f>
        <v>14979455</v>
      </c>
      <c r="V78" s="24"/>
      <c r="W78" s="24"/>
      <c r="X78" s="25" t="s">
        <v>74</v>
      </c>
      <c r="Y78" s="25"/>
      <c r="Z78" s="25"/>
      <c r="AA78" s="25"/>
      <c r="AB78" s="24">
        <f>14979455</f>
        <v>14979455</v>
      </c>
      <c r="AC78" s="24"/>
      <c r="AD78" s="24"/>
      <c r="AE78" s="28">
        <f>112692</f>
        <v>112692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15092147</f>
        <v>15092147</v>
      </c>
      <c r="AX78" s="24"/>
      <c r="AY78" s="25" t="s">
        <v>74</v>
      </c>
      <c r="AZ78" s="25"/>
      <c r="BA78" s="24">
        <f>2556082.93</f>
        <v>2556082.93</v>
      </c>
      <c r="BB78" s="24"/>
      <c r="BC78" s="24"/>
      <c r="BD78" s="25" t="s">
        <v>74</v>
      </c>
      <c r="BE78" s="25"/>
      <c r="BF78" s="24">
        <f>2556082.93</f>
        <v>2556082.93</v>
      </c>
      <c r="BG78" s="24"/>
      <c r="BH78" s="28">
        <f>28173</f>
        <v>28173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2584255.93</f>
        <v>2584255.93</v>
      </c>
      <c r="BR78" s="24"/>
      <c r="BS78" s="24"/>
      <c r="BT78" s="27" t="s">
        <v>74</v>
      </c>
    </row>
    <row r="79" spans="1:72" s="1" customFormat="1" ht="33.75" customHeight="1">
      <c r="A79" s="16" t="s">
        <v>194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191</v>
      </c>
      <c r="N79" s="23"/>
      <c r="O79" s="23"/>
      <c r="P79" s="31" t="s">
        <v>195</v>
      </c>
      <c r="Q79" s="31"/>
      <c r="R79" s="31"/>
      <c r="S79" s="31"/>
      <c r="T79" s="31"/>
      <c r="U79" s="24">
        <f>2032276</f>
        <v>2032276</v>
      </c>
      <c r="V79" s="24"/>
      <c r="W79" s="24"/>
      <c r="X79" s="25" t="s">
        <v>74</v>
      </c>
      <c r="Y79" s="25"/>
      <c r="Z79" s="25"/>
      <c r="AA79" s="25"/>
      <c r="AB79" s="24">
        <f>2032276</f>
        <v>2032276</v>
      </c>
      <c r="AC79" s="24"/>
      <c r="AD79" s="24"/>
      <c r="AE79" s="26" t="s">
        <v>74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2032276</f>
        <v>2032276</v>
      </c>
      <c r="AX79" s="24"/>
      <c r="AY79" s="25" t="s">
        <v>74</v>
      </c>
      <c r="AZ79" s="25"/>
      <c r="BA79" s="24">
        <f>522889.8</f>
        <v>522889.8</v>
      </c>
      <c r="BB79" s="24"/>
      <c r="BC79" s="24"/>
      <c r="BD79" s="25" t="s">
        <v>74</v>
      </c>
      <c r="BE79" s="25"/>
      <c r="BF79" s="24">
        <f>522889.8</f>
        <v>522889.8</v>
      </c>
      <c r="BG79" s="24"/>
      <c r="BH79" s="26" t="s">
        <v>74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522889.8</f>
        <v>522889.8</v>
      </c>
      <c r="BR79" s="24"/>
      <c r="BS79" s="24"/>
      <c r="BT79" s="27" t="s">
        <v>74</v>
      </c>
    </row>
    <row r="80" spans="1:72" s="1" customFormat="1" ht="54.75" customHeight="1">
      <c r="A80" s="16" t="s">
        <v>196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191</v>
      </c>
      <c r="N80" s="23"/>
      <c r="O80" s="23"/>
      <c r="P80" s="31" t="s">
        <v>197</v>
      </c>
      <c r="Q80" s="31"/>
      <c r="R80" s="31"/>
      <c r="S80" s="31"/>
      <c r="T80" s="31"/>
      <c r="U80" s="24">
        <f>2032276</f>
        <v>2032276</v>
      </c>
      <c r="V80" s="24"/>
      <c r="W80" s="24"/>
      <c r="X80" s="25" t="s">
        <v>74</v>
      </c>
      <c r="Y80" s="25"/>
      <c r="Z80" s="25"/>
      <c r="AA80" s="25"/>
      <c r="AB80" s="24">
        <f>2032276</f>
        <v>2032276</v>
      </c>
      <c r="AC80" s="24"/>
      <c r="AD80" s="24"/>
      <c r="AE80" s="26" t="s">
        <v>74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2032276</f>
        <v>2032276</v>
      </c>
      <c r="AX80" s="24"/>
      <c r="AY80" s="25" t="s">
        <v>74</v>
      </c>
      <c r="AZ80" s="25"/>
      <c r="BA80" s="24">
        <f>522889.8</f>
        <v>522889.8</v>
      </c>
      <c r="BB80" s="24"/>
      <c r="BC80" s="24"/>
      <c r="BD80" s="25" t="s">
        <v>74</v>
      </c>
      <c r="BE80" s="25"/>
      <c r="BF80" s="24">
        <f>522889.8</f>
        <v>522889.8</v>
      </c>
      <c r="BG80" s="24"/>
      <c r="BH80" s="26" t="s">
        <v>74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522889.8</f>
        <v>522889.8</v>
      </c>
      <c r="BR80" s="24"/>
      <c r="BS80" s="24"/>
      <c r="BT80" s="27" t="s">
        <v>74</v>
      </c>
    </row>
    <row r="81" spans="1:72" s="1" customFormat="1" ht="24" customHeight="1">
      <c r="A81" s="16" t="s">
        <v>198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191</v>
      </c>
      <c r="N81" s="23"/>
      <c r="O81" s="23"/>
      <c r="P81" s="31" t="s">
        <v>199</v>
      </c>
      <c r="Q81" s="31"/>
      <c r="R81" s="31"/>
      <c r="S81" s="31"/>
      <c r="T81" s="31"/>
      <c r="U81" s="24">
        <f>2032276</f>
        <v>2032276</v>
      </c>
      <c r="V81" s="24"/>
      <c r="W81" s="24"/>
      <c r="X81" s="25" t="s">
        <v>74</v>
      </c>
      <c r="Y81" s="25"/>
      <c r="Z81" s="25"/>
      <c r="AA81" s="25"/>
      <c r="AB81" s="24">
        <f>2032276</f>
        <v>2032276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2032276</f>
        <v>2032276</v>
      </c>
      <c r="AX81" s="24"/>
      <c r="AY81" s="25" t="s">
        <v>74</v>
      </c>
      <c r="AZ81" s="25"/>
      <c r="BA81" s="24">
        <f>522889.8</f>
        <v>522889.8</v>
      </c>
      <c r="BB81" s="24"/>
      <c r="BC81" s="24"/>
      <c r="BD81" s="25" t="s">
        <v>74</v>
      </c>
      <c r="BE81" s="25"/>
      <c r="BF81" s="24">
        <f>522889.8</f>
        <v>522889.8</v>
      </c>
      <c r="BG81" s="24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522889.8</f>
        <v>522889.8</v>
      </c>
      <c r="BR81" s="24"/>
      <c r="BS81" s="24"/>
      <c r="BT81" s="27" t="s">
        <v>74</v>
      </c>
    </row>
    <row r="82" spans="1:72" s="1" customFormat="1" ht="24" customHeight="1">
      <c r="A82" s="16" t="s">
        <v>200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191</v>
      </c>
      <c r="N82" s="23"/>
      <c r="O82" s="23"/>
      <c r="P82" s="31" t="s">
        <v>201</v>
      </c>
      <c r="Q82" s="31"/>
      <c r="R82" s="31"/>
      <c r="S82" s="31"/>
      <c r="T82" s="31"/>
      <c r="U82" s="24">
        <f>1560888</f>
        <v>1560888</v>
      </c>
      <c r="V82" s="24"/>
      <c r="W82" s="24"/>
      <c r="X82" s="25" t="s">
        <v>74</v>
      </c>
      <c r="Y82" s="25"/>
      <c r="Z82" s="25"/>
      <c r="AA82" s="25"/>
      <c r="AB82" s="24">
        <f>1560888</f>
        <v>1560888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1560888</f>
        <v>1560888</v>
      </c>
      <c r="AX82" s="24"/>
      <c r="AY82" s="25" t="s">
        <v>74</v>
      </c>
      <c r="AZ82" s="25"/>
      <c r="BA82" s="24">
        <f>450095.8</f>
        <v>450095.8</v>
      </c>
      <c r="BB82" s="24"/>
      <c r="BC82" s="24"/>
      <c r="BD82" s="25" t="s">
        <v>74</v>
      </c>
      <c r="BE82" s="25"/>
      <c r="BF82" s="24">
        <f>450095.8</f>
        <v>450095.8</v>
      </c>
      <c r="BG82" s="24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450095.8</f>
        <v>450095.8</v>
      </c>
      <c r="BR82" s="24"/>
      <c r="BS82" s="24"/>
      <c r="BT82" s="27" t="s">
        <v>74</v>
      </c>
    </row>
    <row r="83" spans="1:72" s="1" customFormat="1" ht="33.75" customHeight="1">
      <c r="A83" s="16" t="s">
        <v>202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191</v>
      </c>
      <c r="N83" s="23"/>
      <c r="O83" s="23"/>
      <c r="P83" s="31" t="s">
        <v>203</v>
      </c>
      <c r="Q83" s="31"/>
      <c r="R83" s="31"/>
      <c r="S83" s="31"/>
      <c r="T83" s="31"/>
      <c r="U83" s="24">
        <f>471388</f>
        <v>471388</v>
      </c>
      <c r="V83" s="24"/>
      <c r="W83" s="24"/>
      <c r="X83" s="25" t="s">
        <v>74</v>
      </c>
      <c r="Y83" s="25"/>
      <c r="Z83" s="25"/>
      <c r="AA83" s="25"/>
      <c r="AB83" s="24">
        <f>471388</f>
        <v>471388</v>
      </c>
      <c r="AC83" s="24"/>
      <c r="AD83" s="24"/>
      <c r="AE83" s="26" t="s">
        <v>74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471388</f>
        <v>471388</v>
      </c>
      <c r="AX83" s="24"/>
      <c r="AY83" s="25" t="s">
        <v>74</v>
      </c>
      <c r="AZ83" s="25"/>
      <c r="BA83" s="24">
        <f>72794</f>
        <v>72794</v>
      </c>
      <c r="BB83" s="24"/>
      <c r="BC83" s="24"/>
      <c r="BD83" s="25" t="s">
        <v>74</v>
      </c>
      <c r="BE83" s="25"/>
      <c r="BF83" s="24">
        <f>72794</f>
        <v>72794</v>
      </c>
      <c r="BG83" s="24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72794</f>
        <v>72794</v>
      </c>
      <c r="BR83" s="24"/>
      <c r="BS83" s="24"/>
      <c r="BT83" s="27" t="s">
        <v>74</v>
      </c>
    </row>
    <row r="84" spans="1:72" s="1" customFormat="1" ht="45" customHeight="1">
      <c r="A84" s="16" t="s">
        <v>204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191</v>
      </c>
      <c r="N84" s="23"/>
      <c r="O84" s="23"/>
      <c r="P84" s="31" t="s">
        <v>205</v>
      </c>
      <c r="Q84" s="31"/>
      <c r="R84" s="31"/>
      <c r="S84" s="31"/>
      <c r="T84" s="31"/>
      <c r="U84" s="24">
        <f>6312032</f>
        <v>6312032</v>
      </c>
      <c r="V84" s="24"/>
      <c r="W84" s="24"/>
      <c r="X84" s="25" t="s">
        <v>74</v>
      </c>
      <c r="Y84" s="25"/>
      <c r="Z84" s="25"/>
      <c r="AA84" s="25"/>
      <c r="AB84" s="24">
        <f>6312032</f>
        <v>6312032</v>
      </c>
      <c r="AC84" s="24"/>
      <c r="AD84" s="24"/>
      <c r="AE84" s="26" t="s">
        <v>74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6312032</f>
        <v>6312032</v>
      </c>
      <c r="AX84" s="24"/>
      <c r="AY84" s="25" t="s">
        <v>74</v>
      </c>
      <c r="AZ84" s="25"/>
      <c r="BA84" s="24">
        <f>1054670.9</f>
        <v>1054670.9</v>
      </c>
      <c r="BB84" s="24"/>
      <c r="BC84" s="24"/>
      <c r="BD84" s="25" t="s">
        <v>74</v>
      </c>
      <c r="BE84" s="25"/>
      <c r="BF84" s="24">
        <f>1054670.9</f>
        <v>1054670.9</v>
      </c>
      <c r="BG84" s="24"/>
      <c r="BH84" s="26" t="s">
        <v>74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1054670.9</f>
        <v>1054670.9</v>
      </c>
      <c r="BR84" s="24"/>
      <c r="BS84" s="24"/>
      <c r="BT84" s="27" t="s">
        <v>74</v>
      </c>
    </row>
    <row r="85" spans="1:72" s="1" customFormat="1" ht="54.75" customHeight="1">
      <c r="A85" s="16" t="s">
        <v>196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191</v>
      </c>
      <c r="N85" s="23"/>
      <c r="O85" s="23"/>
      <c r="P85" s="31" t="s">
        <v>206</v>
      </c>
      <c r="Q85" s="31"/>
      <c r="R85" s="31"/>
      <c r="S85" s="31"/>
      <c r="T85" s="31"/>
      <c r="U85" s="24">
        <f>4938763</f>
        <v>4938763</v>
      </c>
      <c r="V85" s="24"/>
      <c r="W85" s="24"/>
      <c r="X85" s="25" t="s">
        <v>74</v>
      </c>
      <c r="Y85" s="25"/>
      <c r="Z85" s="25"/>
      <c r="AA85" s="25"/>
      <c r="AB85" s="24">
        <f>4938763</f>
        <v>4938763</v>
      </c>
      <c r="AC85" s="24"/>
      <c r="AD85" s="24"/>
      <c r="AE85" s="26" t="s">
        <v>74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4938763</f>
        <v>4938763</v>
      </c>
      <c r="AX85" s="24"/>
      <c r="AY85" s="25" t="s">
        <v>74</v>
      </c>
      <c r="AZ85" s="25"/>
      <c r="BA85" s="24">
        <f>838882.39</f>
        <v>838882.39</v>
      </c>
      <c r="BB85" s="24"/>
      <c r="BC85" s="24"/>
      <c r="BD85" s="25" t="s">
        <v>74</v>
      </c>
      <c r="BE85" s="25"/>
      <c r="BF85" s="24">
        <f>838882.39</f>
        <v>838882.39</v>
      </c>
      <c r="BG85" s="24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4">
        <f>838882.39</f>
        <v>838882.39</v>
      </c>
      <c r="BR85" s="24"/>
      <c r="BS85" s="24"/>
      <c r="BT85" s="27" t="s">
        <v>74</v>
      </c>
    </row>
    <row r="86" spans="1:72" s="1" customFormat="1" ht="24" customHeight="1">
      <c r="A86" s="16" t="s">
        <v>198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191</v>
      </c>
      <c r="N86" s="23"/>
      <c r="O86" s="23"/>
      <c r="P86" s="31" t="s">
        <v>207</v>
      </c>
      <c r="Q86" s="31"/>
      <c r="R86" s="31"/>
      <c r="S86" s="31"/>
      <c r="T86" s="31"/>
      <c r="U86" s="24">
        <f>4938763</f>
        <v>4938763</v>
      </c>
      <c r="V86" s="24"/>
      <c r="W86" s="24"/>
      <c r="X86" s="25" t="s">
        <v>74</v>
      </c>
      <c r="Y86" s="25"/>
      <c r="Z86" s="25"/>
      <c r="AA86" s="25"/>
      <c r="AB86" s="24">
        <f>4938763</f>
        <v>4938763</v>
      </c>
      <c r="AC86" s="24"/>
      <c r="AD86" s="24"/>
      <c r="AE86" s="26" t="s">
        <v>74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4938763</f>
        <v>4938763</v>
      </c>
      <c r="AX86" s="24"/>
      <c r="AY86" s="25" t="s">
        <v>74</v>
      </c>
      <c r="AZ86" s="25"/>
      <c r="BA86" s="24">
        <f>838882.39</f>
        <v>838882.39</v>
      </c>
      <c r="BB86" s="24"/>
      <c r="BC86" s="24"/>
      <c r="BD86" s="25" t="s">
        <v>74</v>
      </c>
      <c r="BE86" s="25"/>
      <c r="BF86" s="24">
        <f>838882.39</f>
        <v>838882.39</v>
      </c>
      <c r="BG86" s="24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4">
        <f>838882.39</f>
        <v>838882.39</v>
      </c>
      <c r="BR86" s="24"/>
      <c r="BS86" s="24"/>
      <c r="BT86" s="27" t="s">
        <v>74</v>
      </c>
    </row>
    <row r="87" spans="1:72" s="1" customFormat="1" ht="24" customHeight="1">
      <c r="A87" s="16" t="s">
        <v>200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191</v>
      </c>
      <c r="N87" s="23"/>
      <c r="O87" s="23"/>
      <c r="P87" s="31" t="s">
        <v>208</v>
      </c>
      <c r="Q87" s="31"/>
      <c r="R87" s="31"/>
      <c r="S87" s="31"/>
      <c r="T87" s="31"/>
      <c r="U87" s="24">
        <f>3793213</f>
        <v>3793213</v>
      </c>
      <c r="V87" s="24"/>
      <c r="W87" s="24"/>
      <c r="X87" s="25" t="s">
        <v>74</v>
      </c>
      <c r="Y87" s="25"/>
      <c r="Z87" s="25"/>
      <c r="AA87" s="25"/>
      <c r="AB87" s="24">
        <f>3793213</f>
        <v>3793213</v>
      </c>
      <c r="AC87" s="24"/>
      <c r="AD87" s="24"/>
      <c r="AE87" s="26" t="s">
        <v>74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3793213</f>
        <v>3793213</v>
      </c>
      <c r="AX87" s="24"/>
      <c r="AY87" s="25" t="s">
        <v>74</v>
      </c>
      <c r="AZ87" s="25"/>
      <c r="BA87" s="24">
        <f>703892.39</f>
        <v>703892.39</v>
      </c>
      <c r="BB87" s="24"/>
      <c r="BC87" s="24"/>
      <c r="BD87" s="25" t="s">
        <v>74</v>
      </c>
      <c r="BE87" s="25"/>
      <c r="BF87" s="24">
        <f>703892.39</f>
        <v>703892.39</v>
      </c>
      <c r="BG87" s="24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4">
        <f>703892.39</f>
        <v>703892.39</v>
      </c>
      <c r="BR87" s="24"/>
      <c r="BS87" s="24"/>
      <c r="BT87" s="27" t="s">
        <v>74</v>
      </c>
    </row>
    <row r="88" spans="1:72" s="1" customFormat="1" ht="33.75" customHeight="1">
      <c r="A88" s="16" t="s">
        <v>202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191</v>
      </c>
      <c r="N88" s="23"/>
      <c r="O88" s="23"/>
      <c r="P88" s="31" t="s">
        <v>209</v>
      </c>
      <c r="Q88" s="31"/>
      <c r="R88" s="31"/>
      <c r="S88" s="31"/>
      <c r="T88" s="31"/>
      <c r="U88" s="24">
        <f>1145550</f>
        <v>1145550</v>
      </c>
      <c r="V88" s="24"/>
      <c r="W88" s="24"/>
      <c r="X88" s="25" t="s">
        <v>74</v>
      </c>
      <c r="Y88" s="25"/>
      <c r="Z88" s="25"/>
      <c r="AA88" s="25"/>
      <c r="AB88" s="24">
        <f>1145550</f>
        <v>1145550</v>
      </c>
      <c r="AC88" s="24"/>
      <c r="AD88" s="24"/>
      <c r="AE88" s="26" t="s">
        <v>74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1145550</f>
        <v>1145550</v>
      </c>
      <c r="AX88" s="24"/>
      <c r="AY88" s="25" t="s">
        <v>74</v>
      </c>
      <c r="AZ88" s="25"/>
      <c r="BA88" s="24">
        <f>134990</f>
        <v>134990</v>
      </c>
      <c r="BB88" s="24"/>
      <c r="BC88" s="24"/>
      <c r="BD88" s="25" t="s">
        <v>74</v>
      </c>
      <c r="BE88" s="25"/>
      <c r="BF88" s="24">
        <f>134990</f>
        <v>134990</v>
      </c>
      <c r="BG88" s="24"/>
      <c r="BH88" s="26" t="s">
        <v>74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134990</f>
        <v>134990</v>
      </c>
      <c r="BR88" s="24"/>
      <c r="BS88" s="24"/>
      <c r="BT88" s="27" t="s">
        <v>74</v>
      </c>
    </row>
    <row r="89" spans="1:72" s="1" customFormat="1" ht="24" customHeight="1">
      <c r="A89" s="16" t="s">
        <v>210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191</v>
      </c>
      <c r="N89" s="23"/>
      <c r="O89" s="23"/>
      <c r="P89" s="31" t="s">
        <v>211</v>
      </c>
      <c r="Q89" s="31"/>
      <c r="R89" s="31"/>
      <c r="S89" s="31"/>
      <c r="T89" s="31"/>
      <c r="U89" s="24">
        <f>1317269</f>
        <v>1317269</v>
      </c>
      <c r="V89" s="24"/>
      <c r="W89" s="24"/>
      <c r="X89" s="25" t="s">
        <v>74</v>
      </c>
      <c r="Y89" s="25"/>
      <c r="Z89" s="25"/>
      <c r="AA89" s="25"/>
      <c r="AB89" s="24">
        <f>1317269</f>
        <v>1317269</v>
      </c>
      <c r="AC89" s="24"/>
      <c r="AD89" s="24"/>
      <c r="AE89" s="26" t="s">
        <v>74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1317269</f>
        <v>1317269</v>
      </c>
      <c r="AX89" s="24"/>
      <c r="AY89" s="25" t="s">
        <v>74</v>
      </c>
      <c r="AZ89" s="25"/>
      <c r="BA89" s="24">
        <f>215788.51</f>
        <v>215788.51</v>
      </c>
      <c r="BB89" s="24"/>
      <c r="BC89" s="24"/>
      <c r="BD89" s="25" t="s">
        <v>74</v>
      </c>
      <c r="BE89" s="25"/>
      <c r="BF89" s="24">
        <f>215788.51</f>
        <v>215788.51</v>
      </c>
      <c r="BG89" s="24"/>
      <c r="BH89" s="26" t="s">
        <v>74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215788.51</f>
        <v>215788.51</v>
      </c>
      <c r="BR89" s="24"/>
      <c r="BS89" s="24"/>
      <c r="BT89" s="27" t="s">
        <v>74</v>
      </c>
    </row>
    <row r="90" spans="1:72" s="1" customFormat="1" ht="24" customHeight="1">
      <c r="A90" s="16" t="s">
        <v>212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191</v>
      </c>
      <c r="N90" s="23"/>
      <c r="O90" s="23"/>
      <c r="P90" s="31" t="s">
        <v>213</v>
      </c>
      <c r="Q90" s="31"/>
      <c r="R90" s="31"/>
      <c r="S90" s="31"/>
      <c r="T90" s="31"/>
      <c r="U90" s="24">
        <f>1317269</f>
        <v>1317269</v>
      </c>
      <c r="V90" s="24"/>
      <c r="W90" s="24"/>
      <c r="X90" s="25" t="s">
        <v>74</v>
      </c>
      <c r="Y90" s="25"/>
      <c r="Z90" s="25"/>
      <c r="AA90" s="25"/>
      <c r="AB90" s="24">
        <f>1317269</f>
        <v>1317269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1317269</f>
        <v>1317269</v>
      </c>
      <c r="AX90" s="24"/>
      <c r="AY90" s="25" t="s">
        <v>74</v>
      </c>
      <c r="AZ90" s="25"/>
      <c r="BA90" s="24">
        <f>215788.51</f>
        <v>215788.51</v>
      </c>
      <c r="BB90" s="24"/>
      <c r="BC90" s="24"/>
      <c r="BD90" s="25" t="s">
        <v>74</v>
      </c>
      <c r="BE90" s="25"/>
      <c r="BF90" s="24">
        <f>215788.51</f>
        <v>215788.51</v>
      </c>
      <c r="BG90" s="24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215788.51</f>
        <v>215788.51</v>
      </c>
      <c r="BR90" s="24"/>
      <c r="BS90" s="24"/>
      <c r="BT90" s="27" t="s">
        <v>74</v>
      </c>
    </row>
    <row r="91" spans="1:72" s="1" customFormat="1" ht="13.5" customHeight="1">
      <c r="A91" s="16" t="s">
        <v>214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191</v>
      </c>
      <c r="N91" s="23"/>
      <c r="O91" s="23"/>
      <c r="P91" s="31" t="s">
        <v>215</v>
      </c>
      <c r="Q91" s="31"/>
      <c r="R91" s="31"/>
      <c r="S91" s="31"/>
      <c r="T91" s="31"/>
      <c r="U91" s="24">
        <f>1111866</f>
        <v>1111866</v>
      </c>
      <c r="V91" s="24"/>
      <c r="W91" s="24"/>
      <c r="X91" s="25" t="s">
        <v>74</v>
      </c>
      <c r="Y91" s="25"/>
      <c r="Z91" s="25"/>
      <c r="AA91" s="25"/>
      <c r="AB91" s="24">
        <f>1111866</f>
        <v>1111866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1111866</f>
        <v>1111866</v>
      </c>
      <c r="AX91" s="24"/>
      <c r="AY91" s="25" t="s">
        <v>74</v>
      </c>
      <c r="AZ91" s="25"/>
      <c r="BA91" s="24">
        <f>156467.04</f>
        <v>156467.04</v>
      </c>
      <c r="BB91" s="24"/>
      <c r="BC91" s="24"/>
      <c r="BD91" s="25" t="s">
        <v>74</v>
      </c>
      <c r="BE91" s="25"/>
      <c r="BF91" s="24">
        <f>156467.04</f>
        <v>156467.04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156467.04</f>
        <v>156467.04</v>
      </c>
      <c r="BR91" s="24"/>
      <c r="BS91" s="24"/>
      <c r="BT91" s="27" t="s">
        <v>74</v>
      </c>
    </row>
    <row r="92" spans="1:72" s="1" customFormat="1" ht="13.5" customHeight="1">
      <c r="A92" s="16" t="s">
        <v>216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191</v>
      </c>
      <c r="N92" s="23"/>
      <c r="O92" s="23"/>
      <c r="P92" s="31" t="s">
        <v>217</v>
      </c>
      <c r="Q92" s="31"/>
      <c r="R92" s="31"/>
      <c r="S92" s="31"/>
      <c r="T92" s="31"/>
      <c r="U92" s="24">
        <f>205403</f>
        <v>205403</v>
      </c>
      <c r="V92" s="24"/>
      <c r="W92" s="24"/>
      <c r="X92" s="25" t="s">
        <v>74</v>
      </c>
      <c r="Y92" s="25"/>
      <c r="Z92" s="25"/>
      <c r="AA92" s="25"/>
      <c r="AB92" s="24">
        <f>205403</f>
        <v>205403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205403</f>
        <v>205403</v>
      </c>
      <c r="AX92" s="24"/>
      <c r="AY92" s="25" t="s">
        <v>74</v>
      </c>
      <c r="AZ92" s="25"/>
      <c r="BA92" s="24">
        <f>59321.47</f>
        <v>59321.47</v>
      </c>
      <c r="BB92" s="24"/>
      <c r="BC92" s="24"/>
      <c r="BD92" s="25" t="s">
        <v>74</v>
      </c>
      <c r="BE92" s="25"/>
      <c r="BF92" s="24">
        <f>59321.47</f>
        <v>59321.47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59321.47</f>
        <v>59321.47</v>
      </c>
      <c r="BR92" s="24"/>
      <c r="BS92" s="24"/>
      <c r="BT92" s="27" t="s">
        <v>74</v>
      </c>
    </row>
    <row r="93" spans="1:72" s="1" customFormat="1" ht="13.5" customHeight="1">
      <c r="A93" s="16" t="s">
        <v>218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191</v>
      </c>
      <c r="N93" s="23"/>
      <c r="O93" s="23"/>
      <c r="P93" s="31" t="s">
        <v>219</v>
      </c>
      <c r="Q93" s="31"/>
      <c r="R93" s="31"/>
      <c r="S93" s="31"/>
      <c r="T93" s="31"/>
      <c r="U93" s="24">
        <f>56000</f>
        <v>56000</v>
      </c>
      <c r="V93" s="24"/>
      <c r="W93" s="24"/>
      <c r="X93" s="25" t="s">
        <v>74</v>
      </c>
      <c r="Y93" s="25"/>
      <c r="Z93" s="25"/>
      <c r="AA93" s="25"/>
      <c r="AB93" s="24">
        <f>56000</f>
        <v>56000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56000</f>
        <v>56000</v>
      </c>
      <c r="AX93" s="24"/>
      <c r="AY93" s="25" t="s">
        <v>74</v>
      </c>
      <c r="AZ93" s="25"/>
      <c r="BA93" s="25" t="s">
        <v>74</v>
      </c>
      <c r="BB93" s="25"/>
      <c r="BC93" s="25"/>
      <c r="BD93" s="25" t="s">
        <v>74</v>
      </c>
      <c r="BE93" s="25"/>
      <c r="BF93" s="25" t="s">
        <v>74</v>
      </c>
      <c r="BG93" s="25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5" t="s">
        <v>74</v>
      </c>
      <c r="BR93" s="25"/>
      <c r="BS93" s="25"/>
      <c r="BT93" s="27" t="s">
        <v>74</v>
      </c>
    </row>
    <row r="94" spans="1:72" s="1" customFormat="1" ht="13.5" customHeight="1">
      <c r="A94" s="16" t="s">
        <v>220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191</v>
      </c>
      <c r="N94" s="23"/>
      <c r="O94" s="23"/>
      <c r="P94" s="31" t="s">
        <v>221</v>
      </c>
      <c r="Q94" s="31"/>
      <c r="R94" s="31"/>
      <c r="S94" s="31"/>
      <c r="T94" s="31"/>
      <c r="U94" s="24">
        <f>56000</f>
        <v>56000</v>
      </c>
      <c r="V94" s="24"/>
      <c r="W94" s="24"/>
      <c r="X94" s="25" t="s">
        <v>74</v>
      </c>
      <c r="Y94" s="25"/>
      <c r="Z94" s="25"/>
      <c r="AA94" s="25"/>
      <c r="AB94" s="24">
        <f>56000</f>
        <v>56000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56000</f>
        <v>56000</v>
      </c>
      <c r="AX94" s="24"/>
      <c r="AY94" s="25" t="s">
        <v>74</v>
      </c>
      <c r="AZ94" s="25"/>
      <c r="BA94" s="25" t="s">
        <v>74</v>
      </c>
      <c r="BB94" s="25"/>
      <c r="BC94" s="25"/>
      <c r="BD94" s="25" t="s">
        <v>74</v>
      </c>
      <c r="BE94" s="25"/>
      <c r="BF94" s="25" t="s">
        <v>74</v>
      </c>
      <c r="BG94" s="25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5" t="s">
        <v>74</v>
      </c>
      <c r="BR94" s="25"/>
      <c r="BS94" s="25"/>
      <c r="BT94" s="27" t="s">
        <v>74</v>
      </c>
    </row>
    <row r="95" spans="1:72" s="1" customFormat="1" ht="24" customHeight="1">
      <c r="A95" s="16" t="s">
        <v>222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191</v>
      </c>
      <c r="N95" s="23"/>
      <c r="O95" s="23"/>
      <c r="P95" s="31" t="s">
        <v>223</v>
      </c>
      <c r="Q95" s="31"/>
      <c r="R95" s="31"/>
      <c r="S95" s="31"/>
      <c r="T95" s="31"/>
      <c r="U95" s="24">
        <f>54000</f>
        <v>54000</v>
      </c>
      <c r="V95" s="24"/>
      <c r="W95" s="24"/>
      <c r="X95" s="25" t="s">
        <v>74</v>
      </c>
      <c r="Y95" s="25"/>
      <c r="Z95" s="25"/>
      <c r="AA95" s="25"/>
      <c r="AB95" s="24">
        <f>54000</f>
        <v>54000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54000</f>
        <v>54000</v>
      </c>
      <c r="AX95" s="24"/>
      <c r="AY95" s="25" t="s">
        <v>74</v>
      </c>
      <c r="AZ95" s="25"/>
      <c r="BA95" s="25" t="s">
        <v>74</v>
      </c>
      <c r="BB95" s="25"/>
      <c r="BC95" s="25"/>
      <c r="BD95" s="25" t="s">
        <v>74</v>
      </c>
      <c r="BE95" s="25"/>
      <c r="BF95" s="25" t="s">
        <v>74</v>
      </c>
      <c r="BG95" s="25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5" t="s">
        <v>74</v>
      </c>
      <c r="BR95" s="25"/>
      <c r="BS95" s="25"/>
      <c r="BT95" s="27" t="s">
        <v>74</v>
      </c>
    </row>
    <row r="96" spans="1:72" s="1" customFormat="1" ht="13.5" customHeight="1">
      <c r="A96" s="16" t="s">
        <v>224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191</v>
      </c>
      <c r="N96" s="23"/>
      <c r="O96" s="23"/>
      <c r="P96" s="31" t="s">
        <v>225</v>
      </c>
      <c r="Q96" s="31"/>
      <c r="R96" s="31"/>
      <c r="S96" s="31"/>
      <c r="T96" s="31"/>
      <c r="U96" s="24">
        <f>2000</f>
        <v>2000</v>
      </c>
      <c r="V96" s="24"/>
      <c r="W96" s="24"/>
      <c r="X96" s="25" t="s">
        <v>74</v>
      </c>
      <c r="Y96" s="25"/>
      <c r="Z96" s="25"/>
      <c r="AA96" s="25"/>
      <c r="AB96" s="24">
        <f>2000</f>
        <v>2000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2000</f>
        <v>2000</v>
      </c>
      <c r="AX96" s="24"/>
      <c r="AY96" s="25" t="s">
        <v>74</v>
      </c>
      <c r="AZ96" s="25"/>
      <c r="BA96" s="25" t="s">
        <v>74</v>
      </c>
      <c r="BB96" s="25"/>
      <c r="BC96" s="25"/>
      <c r="BD96" s="25" t="s">
        <v>74</v>
      </c>
      <c r="BE96" s="25"/>
      <c r="BF96" s="25" t="s">
        <v>74</v>
      </c>
      <c r="BG96" s="25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5" t="s">
        <v>74</v>
      </c>
      <c r="BR96" s="25"/>
      <c r="BS96" s="25"/>
      <c r="BT96" s="27" t="s">
        <v>74</v>
      </c>
    </row>
    <row r="97" spans="1:72" s="1" customFormat="1" ht="33.75" customHeight="1">
      <c r="A97" s="16" t="s">
        <v>226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191</v>
      </c>
      <c r="N97" s="23"/>
      <c r="O97" s="23"/>
      <c r="P97" s="31" t="s">
        <v>227</v>
      </c>
      <c r="Q97" s="31"/>
      <c r="R97" s="31"/>
      <c r="S97" s="31"/>
      <c r="T97" s="31"/>
      <c r="U97" s="24">
        <f>0</f>
        <v>0</v>
      </c>
      <c r="V97" s="24"/>
      <c r="W97" s="24"/>
      <c r="X97" s="25" t="s">
        <v>74</v>
      </c>
      <c r="Y97" s="25"/>
      <c r="Z97" s="25"/>
      <c r="AA97" s="25"/>
      <c r="AB97" s="24">
        <f>0</f>
        <v>0</v>
      </c>
      <c r="AC97" s="24"/>
      <c r="AD97" s="24"/>
      <c r="AE97" s="28">
        <f>112692</f>
        <v>112692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112692</f>
        <v>112692</v>
      </c>
      <c r="AX97" s="24"/>
      <c r="AY97" s="25" t="s">
        <v>74</v>
      </c>
      <c r="AZ97" s="25"/>
      <c r="BA97" s="24">
        <f>0</f>
        <v>0</v>
      </c>
      <c r="BB97" s="24"/>
      <c r="BC97" s="24"/>
      <c r="BD97" s="25" t="s">
        <v>74</v>
      </c>
      <c r="BE97" s="25"/>
      <c r="BF97" s="24">
        <f>0</f>
        <v>0</v>
      </c>
      <c r="BG97" s="24"/>
      <c r="BH97" s="28">
        <f>28173</f>
        <v>28173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28173</f>
        <v>28173</v>
      </c>
      <c r="BR97" s="24"/>
      <c r="BS97" s="24"/>
      <c r="BT97" s="27" t="s">
        <v>74</v>
      </c>
    </row>
    <row r="98" spans="1:72" s="1" customFormat="1" ht="13.5" customHeight="1">
      <c r="A98" s="16" t="s">
        <v>228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191</v>
      </c>
      <c r="N98" s="23"/>
      <c r="O98" s="23"/>
      <c r="P98" s="31" t="s">
        <v>229</v>
      </c>
      <c r="Q98" s="31"/>
      <c r="R98" s="31"/>
      <c r="S98" s="31"/>
      <c r="T98" s="31"/>
      <c r="U98" s="24">
        <f>0</f>
        <v>0</v>
      </c>
      <c r="V98" s="24"/>
      <c r="W98" s="24"/>
      <c r="X98" s="25" t="s">
        <v>74</v>
      </c>
      <c r="Y98" s="25"/>
      <c r="Z98" s="25"/>
      <c r="AA98" s="25"/>
      <c r="AB98" s="24">
        <f>0</f>
        <v>0</v>
      </c>
      <c r="AC98" s="24"/>
      <c r="AD98" s="24"/>
      <c r="AE98" s="28">
        <f>112692</f>
        <v>112692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112692</f>
        <v>112692</v>
      </c>
      <c r="AX98" s="24"/>
      <c r="AY98" s="25" t="s">
        <v>74</v>
      </c>
      <c r="AZ98" s="25"/>
      <c r="BA98" s="24">
        <f>0</f>
        <v>0</v>
      </c>
      <c r="BB98" s="24"/>
      <c r="BC98" s="24"/>
      <c r="BD98" s="25" t="s">
        <v>74</v>
      </c>
      <c r="BE98" s="25"/>
      <c r="BF98" s="24">
        <f>0</f>
        <v>0</v>
      </c>
      <c r="BG98" s="24"/>
      <c r="BH98" s="28">
        <f>28173</f>
        <v>28173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28173</f>
        <v>28173</v>
      </c>
      <c r="BR98" s="24"/>
      <c r="BS98" s="24"/>
      <c r="BT98" s="27" t="s">
        <v>74</v>
      </c>
    </row>
    <row r="99" spans="1:72" s="1" customFormat="1" ht="13.5" customHeight="1">
      <c r="A99" s="16" t="s">
        <v>178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191</v>
      </c>
      <c r="N99" s="23"/>
      <c r="O99" s="23"/>
      <c r="P99" s="31" t="s">
        <v>230</v>
      </c>
      <c r="Q99" s="31"/>
      <c r="R99" s="31"/>
      <c r="S99" s="31"/>
      <c r="T99" s="31"/>
      <c r="U99" s="24">
        <f>0</f>
        <v>0</v>
      </c>
      <c r="V99" s="24"/>
      <c r="W99" s="24"/>
      <c r="X99" s="25" t="s">
        <v>74</v>
      </c>
      <c r="Y99" s="25"/>
      <c r="Z99" s="25"/>
      <c r="AA99" s="25"/>
      <c r="AB99" s="24">
        <f>0</f>
        <v>0</v>
      </c>
      <c r="AC99" s="24"/>
      <c r="AD99" s="24"/>
      <c r="AE99" s="28">
        <f>112692</f>
        <v>112692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112692</f>
        <v>112692</v>
      </c>
      <c r="AX99" s="24"/>
      <c r="AY99" s="25" t="s">
        <v>74</v>
      </c>
      <c r="AZ99" s="25"/>
      <c r="BA99" s="24">
        <f>0</f>
        <v>0</v>
      </c>
      <c r="BB99" s="24"/>
      <c r="BC99" s="24"/>
      <c r="BD99" s="25" t="s">
        <v>74</v>
      </c>
      <c r="BE99" s="25"/>
      <c r="BF99" s="24">
        <f>0</f>
        <v>0</v>
      </c>
      <c r="BG99" s="24"/>
      <c r="BH99" s="28">
        <f>28173</f>
        <v>28173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28173</f>
        <v>28173</v>
      </c>
      <c r="BR99" s="24"/>
      <c r="BS99" s="24"/>
      <c r="BT99" s="27" t="s">
        <v>74</v>
      </c>
    </row>
    <row r="100" spans="1:72" s="1" customFormat="1" ht="13.5" customHeight="1">
      <c r="A100" s="16" t="s">
        <v>231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191</v>
      </c>
      <c r="N100" s="23"/>
      <c r="O100" s="23"/>
      <c r="P100" s="31" t="s">
        <v>232</v>
      </c>
      <c r="Q100" s="31"/>
      <c r="R100" s="31"/>
      <c r="S100" s="31"/>
      <c r="T100" s="31"/>
      <c r="U100" s="24">
        <f>700000</f>
        <v>700000</v>
      </c>
      <c r="V100" s="24"/>
      <c r="W100" s="24"/>
      <c r="X100" s="25" t="s">
        <v>74</v>
      </c>
      <c r="Y100" s="25"/>
      <c r="Z100" s="25"/>
      <c r="AA100" s="25"/>
      <c r="AB100" s="24">
        <f>700000</f>
        <v>700000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700000</f>
        <v>700000</v>
      </c>
      <c r="AX100" s="24"/>
      <c r="AY100" s="25" t="s">
        <v>74</v>
      </c>
      <c r="AZ100" s="25"/>
      <c r="BA100" s="25" t="s">
        <v>74</v>
      </c>
      <c r="BB100" s="25"/>
      <c r="BC100" s="25"/>
      <c r="BD100" s="25" t="s">
        <v>74</v>
      </c>
      <c r="BE100" s="25"/>
      <c r="BF100" s="25" t="s">
        <v>74</v>
      </c>
      <c r="BG100" s="25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5" t="s">
        <v>74</v>
      </c>
      <c r="BR100" s="25"/>
      <c r="BS100" s="25"/>
      <c r="BT100" s="27" t="s">
        <v>74</v>
      </c>
    </row>
    <row r="101" spans="1:72" s="1" customFormat="1" ht="13.5" customHeight="1">
      <c r="A101" s="16" t="s">
        <v>218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191</v>
      </c>
      <c r="N101" s="23"/>
      <c r="O101" s="23"/>
      <c r="P101" s="31" t="s">
        <v>233</v>
      </c>
      <c r="Q101" s="31"/>
      <c r="R101" s="31"/>
      <c r="S101" s="31"/>
      <c r="T101" s="31"/>
      <c r="U101" s="24">
        <f>700000</f>
        <v>700000</v>
      </c>
      <c r="V101" s="24"/>
      <c r="W101" s="24"/>
      <c r="X101" s="25" t="s">
        <v>74</v>
      </c>
      <c r="Y101" s="25"/>
      <c r="Z101" s="25"/>
      <c r="AA101" s="25"/>
      <c r="AB101" s="24">
        <f>700000</f>
        <v>700000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700000</f>
        <v>700000</v>
      </c>
      <c r="AX101" s="24"/>
      <c r="AY101" s="25" t="s">
        <v>74</v>
      </c>
      <c r="AZ101" s="25"/>
      <c r="BA101" s="25" t="s">
        <v>74</v>
      </c>
      <c r="BB101" s="25"/>
      <c r="BC101" s="25"/>
      <c r="BD101" s="25" t="s">
        <v>74</v>
      </c>
      <c r="BE101" s="25"/>
      <c r="BF101" s="25" t="s">
        <v>74</v>
      </c>
      <c r="BG101" s="25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5" t="s">
        <v>74</v>
      </c>
      <c r="BR101" s="25"/>
      <c r="BS101" s="25"/>
      <c r="BT101" s="27" t="s">
        <v>74</v>
      </c>
    </row>
    <row r="102" spans="1:72" s="1" customFormat="1" ht="13.5" customHeight="1">
      <c r="A102" s="16" t="s">
        <v>234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191</v>
      </c>
      <c r="N102" s="23"/>
      <c r="O102" s="23"/>
      <c r="P102" s="31" t="s">
        <v>235</v>
      </c>
      <c r="Q102" s="31"/>
      <c r="R102" s="31"/>
      <c r="S102" s="31"/>
      <c r="T102" s="31"/>
      <c r="U102" s="24">
        <f>700000</f>
        <v>700000</v>
      </c>
      <c r="V102" s="24"/>
      <c r="W102" s="24"/>
      <c r="X102" s="25" t="s">
        <v>74</v>
      </c>
      <c r="Y102" s="25"/>
      <c r="Z102" s="25"/>
      <c r="AA102" s="25"/>
      <c r="AB102" s="24">
        <f>700000</f>
        <v>700000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700000</f>
        <v>700000</v>
      </c>
      <c r="AX102" s="24"/>
      <c r="AY102" s="25" t="s">
        <v>74</v>
      </c>
      <c r="AZ102" s="25"/>
      <c r="BA102" s="25" t="s">
        <v>74</v>
      </c>
      <c r="BB102" s="25"/>
      <c r="BC102" s="25"/>
      <c r="BD102" s="25" t="s">
        <v>74</v>
      </c>
      <c r="BE102" s="25"/>
      <c r="BF102" s="25" t="s">
        <v>74</v>
      </c>
      <c r="BG102" s="25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5" t="s">
        <v>74</v>
      </c>
      <c r="BR102" s="25"/>
      <c r="BS102" s="25"/>
      <c r="BT102" s="27" t="s">
        <v>74</v>
      </c>
    </row>
    <row r="103" spans="1:72" s="1" customFormat="1" ht="13.5" customHeight="1">
      <c r="A103" s="16" t="s">
        <v>236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191</v>
      </c>
      <c r="N103" s="23"/>
      <c r="O103" s="23"/>
      <c r="P103" s="31" t="s">
        <v>237</v>
      </c>
      <c r="Q103" s="31"/>
      <c r="R103" s="31"/>
      <c r="S103" s="31"/>
      <c r="T103" s="31"/>
      <c r="U103" s="24">
        <f>95000</f>
        <v>95000</v>
      </c>
      <c r="V103" s="24"/>
      <c r="W103" s="24"/>
      <c r="X103" s="25" t="s">
        <v>74</v>
      </c>
      <c r="Y103" s="25"/>
      <c r="Z103" s="25"/>
      <c r="AA103" s="25"/>
      <c r="AB103" s="24">
        <f>95000</f>
        <v>95000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95000</f>
        <v>95000</v>
      </c>
      <c r="AX103" s="24"/>
      <c r="AY103" s="25" t="s">
        <v>74</v>
      </c>
      <c r="AZ103" s="25"/>
      <c r="BA103" s="25" t="s">
        <v>74</v>
      </c>
      <c r="BB103" s="25"/>
      <c r="BC103" s="25"/>
      <c r="BD103" s="25" t="s">
        <v>74</v>
      </c>
      <c r="BE103" s="25"/>
      <c r="BF103" s="25" t="s">
        <v>74</v>
      </c>
      <c r="BG103" s="25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5" t="s">
        <v>74</v>
      </c>
      <c r="BR103" s="25"/>
      <c r="BS103" s="25"/>
      <c r="BT103" s="27" t="s">
        <v>74</v>
      </c>
    </row>
    <row r="104" spans="1:72" s="1" customFormat="1" ht="13.5" customHeight="1">
      <c r="A104" s="16" t="s">
        <v>218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191</v>
      </c>
      <c r="N104" s="23"/>
      <c r="O104" s="23"/>
      <c r="P104" s="31" t="s">
        <v>238</v>
      </c>
      <c r="Q104" s="31"/>
      <c r="R104" s="31"/>
      <c r="S104" s="31"/>
      <c r="T104" s="31"/>
      <c r="U104" s="24">
        <f>95000</f>
        <v>95000</v>
      </c>
      <c r="V104" s="24"/>
      <c r="W104" s="24"/>
      <c r="X104" s="25" t="s">
        <v>74</v>
      </c>
      <c r="Y104" s="25"/>
      <c r="Z104" s="25"/>
      <c r="AA104" s="25"/>
      <c r="AB104" s="24">
        <f>95000</f>
        <v>95000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95000</f>
        <v>95000</v>
      </c>
      <c r="AX104" s="24"/>
      <c r="AY104" s="25" t="s">
        <v>74</v>
      </c>
      <c r="AZ104" s="25"/>
      <c r="BA104" s="25" t="s">
        <v>74</v>
      </c>
      <c r="BB104" s="25"/>
      <c r="BC104" s="25"/>
      <c r="BD104" s="25" t="s">
        <v>74</v>
      </c>
      <c r="BE104" s="25"/>
      <c r="BF104" s="25" t="s">
        <v>74</v>
      </c>
      <c r="BG104" s="25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5" t="s">
        <v>74</v>
      </c>
      <c r="BR104" s="25"/>
      <c r="BS104" s="25"/>
      <c r="BT104" s="27" t="s">
        <v>74</v>
      </c>
    </row>
    <row r="105" spans="1:72" s="1" customFormat="1" ht="13.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191</v>
      </c>
      <c r="N105" s="23"/>
      <c r="O105" s="23"/>
      <c r="P105" s="31" t="s">
        <v>240</v>
      </c>
      <c r="Q105" s="31"/>
      <c r="R105" s="31"/>
      <c r="S105" s="31"/>
      <c r="T105" s="31"/>
      <c r="U105" s="24">
        <f>95000</f>
        <v>95000</v>
      </c>
      <c r="V105" s="24"/>
      <c r="W105" s="24"/>
      <c r="X105" s="25" t="s">
        <v>74</v>
      </c>
      <c r="Y105" s="25"/>
      <c r="Z105" s="25"/>
      <c r="AA105" s="25"/>
      <c r="AB105" s="24">
        <f>95000</f>
        <v>95000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95000</f>
        <v>95000</v>
      </c>
      <c r="AX105" s="24"/>
      <c r="AY105" s="25" t="s">
        <v>74</v>
      </c>
      <c r="AZ105" s="25"/>
      <c r="BA105" s="25" t="s">
        <v>74</v>
      </c>
      <c r="BB105" s="25"/>
      <c r="BC105" s="25"/>
      <c r="BD105" s="25" t="s">
        <v>74</v>
      </c>
      <c r="BE105" s="25"/>
      <c r="BF105" s="25" t="s">
        <v>74</v>
      </c>
      <c r="BG105" s="25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5" t="s">
        <v>74</v>
      </c>
      <c r="BR105" s="25"/>
      <c r="BS105" s="25"/>
      <c r="BT105" s="27" t="s">
        <v>74</v>
      </c>
    </row>
    <row r="106" spans="1:72" s="1" customFormat="1" ht="13.5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191</v>
      </c>
      <c r="N106" s="23"/>
      <c r="O106" s="23"/>
      <c r="P106" s="31" t="s">
        <v>242</v>
      </c>
      <c r="Q106" s="31"/>
      <c r="R106" s="31"/>
      <c r="S106" s="31"/>
      <c r="T106" s="31"/>
      <c r="U106" s="24">
        <f>5840147</f>
        <v>5840147</v>
      </c>
      <c r="V106" s="24"/>
      <c r="W106" s="24"/>
      <c r="X106" s="25" t="s">
        <v>74</v>
      </c>
      <c r="Y106" s="25"/>
      <c r="Z106" s="25"/>
      <c r="AA106" s="25"/>
      <c r="AB106" s="24">
        <f>5840147</f>
        <v>5840147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5840147</f>
        <v>5840147</v>
      </c>
      <c r="AX106" s="24"/>
      <c r="AY106" s="25" t="s">
        <v>74</v>
      </c>
      <c r="AZ106" s="25"/>
      <c r="BA106" s="24">
        <f>978522.23</f>
        <v>978522.23</v>
      </c>
      <c r="BB106" s="24"/>
      <c r="BC106" s="24"/>
      <c r="BD106" s="25" t="s">
        <v>74</v>
      </c>
      <c r="BE106" s="25"/>
      <c r="BF106" s="24">
        <f>978522.23</f>
        <v>978522.23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978522.23</f>
        <v>978522.23</v>
      </c>
      <c r="BR106" s="24"/>
      <c r="BS106" s="24"/>
      <c r="BT106" s="27" t="s">
        <v>74</v>
      </c>
    </row>
    <row r="107" spans="1:72" s="1" customFormat="1" ht="54.75" customHeight="1">
      <c r="A107" s="16" t="s">
        <v>196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191</v>
      </c>
      <c r="N107" s="23"/>
      <c r="O107" s="23"/>
      <c r="P107" s="31" t="s">
        <v>243</v>
      </c>
      <c r="Q107" s="31"/>
      <c r="R107" s="31"/>
      <c r="S107" s="31"/>
      <c r="T107" s="31"/>
      <c r="U107" s="24">
        <f>4463154</f>
        <v>4463154</v>
      </c>
      <c r="V107" s="24"/>
      <c r="W107" s="24"/>
      <c r="X107" s="25" t="s">
        <v>74</v>
      </c>
      <c r="Y107" s="25"/>
      <c r="Z107" s="25"/>
      <c r="AA107" s="25"/>
      <c r="AB107" s="24">
        <f>4463154</f>
        <v>4463154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4463154</f>
        <v>4463154</v>
      </c>
      <c r="AX107" s="24"/>
      <c r="AY107" s="25" t="s">
        <v>74</v>
      </c>
      <c r="AZ107" s="25"/>
      <c r="BA107" s="24">
        <f>690142.29</f>
        <v>690142.29</v>
      </c>
      <c r="BB107" s="24"/>
      <c r="BC107" s="24"/>
      <c r="BD107" s="25" t="s">
        <v>74</v>
      </c>
      <c r="BE107" s="25"/>
      <c r="BF107" s="24">
        <f>690142.29</f>
        <v>690142.29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690142.29</f>
        <v>690142.29</v>
      </c>
      <c r="BR107" s="24"/>
      <c r="BS107" s="24"/>
      <c r="BT107" s="27" t="s">
        <v>74</v>
      </c>
    </row>
    <row r="108" spans="1:72" s="1" customFormat="1" ht="13.5" customHeight="1">
      <c r="A108" s="16" t="s">
        <v>244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191</v>
      </c>
      <c r="N108" s="23"/>
      <c r="O108" s="23"/>
      <c r="P108" s="31" t="s">
        <v>245</v>
      </c>
      <c r="Q108" s="31"/>
      <c r="R108" s="31"/>
      <c r="S108" s="31"/>
      <c r="T108" s="31"/>
      <c r="U108" s="24">
        <f>4463154</f>
        <v>4463154</v>
      </c>
      <c r="V108" s="24"/>
      <c r="W108" s="24"/>
      <c r="X108" s="25" t="s">
        <v>74</v>
      </c>
      <c r="Y108" s="25"/>
      <c r="Z108" s="25"/>
      <c r="AA108" s="25"/>
      <c r="AB108" s="24">
        <f>4463154</f>
        <v>4463154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4463154</f>
        <v>4463154</v>
      </c>
      <c r="AX108" s="24"/>
      <c r="AY108" s="25" t="s">
        <v>74</v>
      </c>
      <c r="AZ108" s="25"/>
      <c r="BA108" s="24">
        <f>690142.29</f>
        <v>690142.29</v>
      </c>
      <c r="BB108" s="24"/>
      <c r="BC108" s="24"/>
      <c r="BD108" s="25" t="s">
        <v>74</v>
      </c>
      <c r="BE108" s="25"/>
      <c r="BF108" s="24">
        <f>690142.29</f>
        <v>690142.29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690142.29</f>
        <v>690142.29</v>
      </c>
      <c r="BR108" s="24"/>
      <c r="BS108" s="24"/>
      <c r="BT108" s="27" t="s">
        <v>74</v>
      </c>
    </row>
    <row r="109" spans="1:72" s="1" customFormat="1" ht="13.5" customHeight="1">
      <c r="A109" s="16" t="s">
        <v>246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191</v>
      </c>
      <c r="N109" s="23"/>
      <c r="O109" s="23"/>
      <c r="P109" s="31" t="s">
        <v>247</v>
      </c>
      <c r="Q109" s="31"/>
      <c r="R109" s="31"/>
      <c r="S109" s="31"/>
      <c r="T109" s="31"/>
      <c r="U109" s="24">
        <f>3427921</f>
        <v>3427921</v>
      </c>
      <c r="V109" s="24"/>
      <c r="W109" s="24"/>
      <c r="X109" s="25" t="s">
        <v>74</v>
      </c>
      <c r="Y109" s="25"/>
      <c r="Z109" s="25"/>
      <c r="AA109" s="25"/>
      <c r="AB109" s="24">
        <f>3427921</f>
        <v>3427921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3427921</f>
        <v>3427921</v>
      </c>
      <c r="AX109" s="24"/>
      <c r="AY109" s="25" t="s">
        <v>74</v>
      </c>
      <c r="AZ109" s="25"/>
      <c r="BA109" s="24">
        <f>569035.29</f>
        <v>569035.29</v>
      </c>
      <c r="BB109" s="24"/>
      <c r="BC109" s="24"/>
      <c r="BD109" s="25" t="s">
        <v>74</v>
      </c>
      <c r="BE109" s="25"/>
      <c r="BF109" s="24">
        <f>569035.29</f>
        <v>569035.29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569035.29</f>
        <v>569035.29</v>
      </c>
      <c r="BR109" s="24"/>
      <c r="BS109" s="24"/>
      <c r="BT109" s="27" t="s">
        <v>74</v>
      </c>
    </row>
    <row r="110" spans="1:72" s="1" customFormat="1" ht="33.75" customHeight="1">
      <c r="A110" s="16" t="s">
        <v>248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191</v>
      </c>
      <c r="N110" s="23"/>
      <c r="O110" s="23"/>
      <c r="P110" s="31" t="s">
        <v>249</v>
      </c>
      <c r="Q110" s="31"/>
      <c r="R110" s="31"/>
      <c r="S110" s="31"/>
      <c r="T110" s="31"/>
      <c r="U110" s="24">
        <f>1035233</f>
        <v>1035233</v>
      </c>
      <c r="V110" s="24"/>
      <c r="W110" s="24"/>
      <c r="X110" s="25" t="s">
        <v>74</v>
      </c>
      <c r="Y110" s="25"/>
      <c r="Z110" s="25"/>
      <c r="AA110" s="25"/>
      <c r="AB110" s="24">
        <f>1035233</f>
        <v>1035233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1035233</f>
        <v>1035233</v>
      </c>
      <c r="AX110" s="24"/>
      <c r="AY110" s="25" t="s">
        <v>74</v>
      </c>
      <c r="AZ110" s="25"/>
      <c r="BA110" s="24">
        <f>121107</f>
        <v>121107</v>
      </c>
      <c r="BB110" s="24"/>
      <c r="BC110" s="24"/>
      <c r="BD110" s="25" t="s">
        <v>74</v>
      </c>
      <c r="BE110" s="25"/>
      <c r="BF110" s="24">
        <f>121107</f>
        <v>121107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121107</f>
        <v>121107</v>
      </c>
      <c r="BR110" s="24"/>
      <c r="BS110" s="24"/>
      <c r="BT110" s="27" t="s">
        <v>74</v>
      </c>
    </row>
    <row r="111" spans="1:72" s="1" customFormat="1" ht="24" customHeight="1">
      <c r="A111" s="16" t="s">
        <v>210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191</v>
      </c>
      <c r="N111" s="23"/>
      <c r="O111" s="23"/>
      <c r="P111" s="31" t="s">
        <v>250</v>
      </c>
      <c r="Q111" s="31"/>
      <c r="R111" s="31"/>
      <c r="S111" s="31"/>
      <c r="T111" s="31"/>
      <c r="U111" s="24">
        <f>1303400</f>
        <v>1303400</v>
      </c>
      <c r="V111" s="24"/>
      <c r="W111" s="24"/>
      <c r="X111" s="25" t="s">
        <v>74</v>
      </c>
      <c r="Y111" s="25"/>
      <c r="Z111" s="25"/>
      <c r="AA111" s="25"/>
      <c r="AB111" s="24">
        <f>1303400</f>
        <v>1303400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1303400</f>
        <v>1303400</v>
      </c>
      <c r="AX111" s="24"/>
      <c r="AY111" s="25" t="s">
        <v>74</v>
      </c>
      <c r="AZ111" s="25"/>
      <c r="BA111" s="24">
        <f>234153.94</f>
        <v>234153.94</v>
      </c>
      <c r="BB111" s="24"/>
      <c r="BC111" s="24"/>
      <c r="BD111" s="25" t="s">
        <v>74</v>
      </c>
      <c r="BE111" s="25"/>
      <c r="BF111" s="24">
        <f>234153.94</f>
        <v>234153.94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234153.94</f>
        <v>234153.94</v>
      </c>
      <c r="BR111" s="24"/>
      <c r="BS111" s="24"/>
      <c r="BT111" s="27" t="s">
        <v>74</v>
      </c>
    </row>
    <row r="112" spans="1:72" s="1" customFormat="1" ht="24" customHeight="1">
      <c r="A112" s="16" t="s">
        <v>212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191</v>
      </c>
      <c r="N112" s="23"/>
      <c r="O112" s="23"/>
      <c r="P112" s="31" t="s">
        <v>251</v>
      </c>
      <c r="Q112" s="31"/>
      <c r="R112" s="31"/>
      <c r="S112" s="31"/>
      <c r="T112" s="31"/>
      <c r="U112" s="24">
        <f>1303400</f>
        <v>1303400</v>
      </c>
      <c r="V112" s="24"/>
      <c r="W112" s="24"/>
      <c r="X112" s="25" t="s">
        <v>74</v>
      </c>
      <c r="Y112" s="25"/>
      <c r="Z112" s="25"/>
      <c r="AA112" s="25"/>
      <c r="AB112" s="24">
        <f>1303400</f>
        <v>1303400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1303400</f>
        <v>1303400</v>
      </c>
      <c r="AX112" s="24"/>
      <c r="AY112" s="25" t="s">
        <v>74</v>
      </c>
      <c r="AZ112" s="25"/>
      <c r="BA112" s="24">
        <f>234153.94</f>
        <v>234153.94</v>
      </c>
      <c r="BB112" s="24"/>
      <c r="BC112" s="24"/>
      <c r="BD112" s="25" t="s">
        <v>74</v>
      </c>
      <c r="BE112" s="25"/>
      <c r="BF112" s="24">
        <f>234153.94</f>
        <v>234153.94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234153.94</f>
        <v>234153.94</v>
      </c>
      <c r="BR112" s="24"/>
      <c r="BS112" s="24"/>
      <c r="BT112" s="27" t="s">
        <v>74</v>
      </c>
    </row>
    <row r="113" spans="1:72" s="1" customFormat="1" ht="13.5" customHeight="1">
      <c r="A113" s="16" t="s">
        <v>214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191</v>
      </c>
      <c r="N113" s="23"/>
      <c r="O113" s="23"/>
      <c r="P113" s="31" t="s">
        <v>252</v>
      </c>
      <c r="Q113" s="31"/>
      <c r="R113" s="31"/>
      <c r="S113" s="31"/>
      <c r="T113" s="31"/>
      <c r="U113" s="24">
        <f>1188400</f>
        <v>1188400</v>
      </c>
      <c r="V113" s="24"/>
      <c r="W113" s="24"/>
      <c r="X113" s="25" t="s">
        <v>74</v>
      </c>
      <c r="Y113" s="25"/>
      <c r="Z113" s="25"/>
      <c r="AA113" s="25"/>
      <c r="AB113" s="24">
        <f>1188400</f>
        <v>1188400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1188400</f>
        <v>1188400</v>
      </c>
      <c r="AX113" s="24"/>
      <c r="AY113" s="25" t="s">
        <v>74</v>
      </c>
      <c r="AZ113" s="25"/>
      <c r="BA113" s="24">
        <f>189985.35</f>
        <v>189985.35</v>
      </c>
      <c r="BB113" s="24"/>
      <c r="BC113" s="24"/>
      <c r="BD113" s="25" t="s">
        <v>74</v>
      </c>
      <c r="BE113" s="25"/>
      <c r="BF113" s="24">
        <f>189985.35</f>
        <v>189985.35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189985.35</f>
        <v>189985.35</v>
      </c>
      <c r="BR113" s="24"/>
      <c r="BS113" s="24"/>
      <c r="BT113" s="27" t="s">
        <v>74</v>
      </c>
    </row>
    <row r="114" spans="1:72" s="1" customFormat="1" ht="13.5" customHeight="1">
      <c r="A114" s="16" t="s">
        <v>216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191</v>
      </c>
      <c r="N114" s="23"/>
      <c r="O114" s="23"/>
      <c r="P114" s="31" t="s">
        <v>253</v>
      </c>
      <c r="Q114" s="31"/>
      <c r="R114" s="31"/>
      <c r="S114" s="31"/>
      <c r="T114" s="31"/>
      <c r="U114" s="24">
        <f>115000</f>
        <v>115000</v>
      </c>
      <c r="V114" s="24"/>
      <c r="W114" s="24"/>
      <c r="X114" s="25" t="s">
        <v>74</v>
      </c>
      <c r="Y114" s="25"/>
      <c r="Z114" s="25"/>
      <c r="AA114" s="25"/>
      <c r="AB114" s="24">
        <f>115000</f>
        <v>115000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115000</f>
        <v>115000</v>
      </c>
      <c r="AX114" s="24"/>
      <c r="AY114" s="25" t="s">
        <v>74</v>
      </c>
      <c r="AZ114" s="25"/>
      <c r="BA114" s="24">
        <f>44168.59</f>
        <v>44168.59</v>
      </c>
      <c r="BB114" s="24"/>
      <c r="BC114" s="24"/>
      <c r="BD114" s="25" t="s">
        <v>74</v>
      </c>
      <c r="BE114" s="25"/>
      <c r="BF114" s="24">
        <f>44168.59</f>
        <v>44168.59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44168.59</f>
        <v>44168.59</v>
      </c>
      <c r="BR114" s="24"/>
      <c r="BS114" s="24"/>
      <c r="BT114" s="27" t="s">
        <v>74</v>
      </c>
    </row>
    <row r="115" spans="1:72" s="1" customFormat="1" ht="13.5" customHeight="1">
      <c r="A115" s="16" t="s">
        <v>254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191</v>
      </c>
      <c r="N115" s="23"/>
      <c r="O115" s="23"/>
      <c r="P115" s="31" t="s">
        <v>255</v>
      </c>
      <c r="Q115" s="31"/>
      <c r="R115" s="31"/>
      <c r="S115" s="31"/>
      <c r="T115" s="31"/>
      <c r="U115" s="24">
        <f>5000</f>
        <v>5000</v>
      </c>
      <c r="V115" s="24"/>
      <c r="W115" s="24"/>
      <c r="X115" s="25" t="s">
        <v>74</v>
      </c>
      <c r="Y115" s="25"/>
      <c r="Z115" s="25"/>
      <c r="AA115" s="25"/>
      <c r="AB115" s="24">
        <f>5000</f>
        <v>5000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5000</f>
        <v>5000</v>
      </c>
      <c r="AX115" s="24"/>
      <c r="AY115" s="25" t="s">
        <v>74</v>
      </c>
      <c r="AZ115" s="25"/>
      <c r="BA115" s="24">
        <f>5000</f>
        <v>5000</v>
      </c>
      <c r="BB115" s="24"/>
      <c r="BC115" s="24"/>
      <c r="BD115" s="25" t="s">
        <v>74</v>
      </c>
      <c r="BE115" s="25"/>
      <c r="BF115" s="24">
        <f>5000</f>
        <v>5000</v>
      </c>
      <c r="BG115" s="24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5000</f>
        <v>5000</v>
      </c>
      <c r="BR115" s="24"/>
      <c r="BS115" s="24"/>
      <c r="BT115" s="27" t="s">
        <v>74</v>
      </c>
    </row>
    <row r="116" spans="1:72" s="1" customFormat="1" ht="24" customHeight="1">
      <c r="A116" s="16" t="s">
        <v>256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191</v>
      </c>
      <c r="N116" s="23"/>
      <c r="O116" s="23"/>
      <c r="P116" s="31" t="s">
        <v>257</v>
      </c>
      <c r="Q116" s="31"/>
      <c r="R116" s="31"/>
      <c r="S116" s="31"/>
      <c r="T116" s="31"/>
      <c r="U116" s="24">
        <f>5000</f>
        <v>5000</v>
      </c>
      <c r="V116" s="24"/>
      <c r="W116" s="24"/>
      <c r="X116" s="25" t="s">
        <v>74</v>
      </c>
      <c r="Y116" s="25"/>
      <c r="Z116" s="25"/>
      <c r="AA116" s="25"/>
      <c r="AB116" s="24">
        <f>5000</f>
        <v>5000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5000</f>
        <v>5000</v>
      </c>
      <c r="AX116" s="24"/>
      <c r="AY116" s="25" t="s">
        <v>74</v>
      </c>
      <c r="AZ116" s="25"/>
      <c r="BA116" s="24">
        <f>5000</f>
        <v>5000</v>
      </c>
      <c r="BB116" s="24"/>
      <c r="BC116" s="24"/>
      <c r="BD116" s="25" t="s">
        <v>74</v>
      </c>
      <c r="BE116" s="25"/>
      <c r="BF116" s="24">
        <f>5000</f>
        <v>5000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5000</f>
        <v>5000</v>
      </c>
      <c r="BR116" s="24"/>
      <c r="BS116" s="24"/>
      <c r="BT116" s="27" t="s">
        <v>74</v>
      </c>
    </row>
    <row r="117" spans="1:72" s="1" customFormat="1" ht="33.75" customHeight="1">
      <c r="A117" s="16" t="s">
        <v>258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191</v>
      </c>
      <c r="N117" s="23"/>
      <c r="O117" s="23"/>
      <c r="P117" s="31" t="s">
        <v>259</v>
      </c>
      <c r="Q117" s="31"/>
      <c r="R117" s="31"/>
      <c r="S117" s="31"/>
      <c r="T117" s="31"/>
      <c r="U117" s="24">
        <f>5000</f>
        <v>5000</v>
      </c>
      <c r="V117" s="24"/>
      <c r="W117" s="24"/>
      <c r="X117" s="25" t="s">
        <v>74</v>
      </c>
      <c r="Y117" s="25"/>
      <c r="Z117" s="25"/>
      <c r="AA117" s="25"/>
      <c r="AB117" s="24">
        <f>5000</f>
        <v>5000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5000</f>
        <v>5000</v>
      </c>
      <c r="AX117" s="24"/>
      <c r="AY117" s="25" t="s">
        <v>74</v>
      </c>
      <c r="AZ117" s="25"/>
      <c r="BA117" s="24">
        <f>5000</f>
        <v>5000</v>
      </c>
      <c r="BB117" s="24"/>
      <c r="BC117" s="24"/>
      <c r="BD117" s="25" t="s">
        <v>74</v>
      </c>
      <c r="BE117" s="25"/>
      <c r="BF117" s="24">
        <f>5000</f>
        <v>5000</v>
      </c>
      <c r="BG117" s="24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5000</f>
        <v>5000</v>
      </c>
      <c r="BR117" s="24"/>
      <c r="BS117" s="24"/>
      <c r="BT117" s="27" t="s">
        <v>74</v>
      </c>
    </row>
    <row r="118" spans="1:72" s="1" customFormat="1" ht="13.5" customHeight="1">
      <c r="A118" s="16" t="s">
        <v>218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191</v>
      </c>
      <c r="N118" s="23"/>
      <c r="O118" s="23"/>
      <c r="P118" s="31" t="s">
        <v>260</v>
      </c>
      <c r="Q118" s="31"/>
      <c r="R118" s="31"/>
      <c r="S118" s="31"/>
      <c r="T118" s="31"/>
      <c r="U118" s="24">
        <f>68593</f>
        <v>68593</v>
      </c>
      <c r="V118" s="24"/>
      <c r="W118" s="24"/>
      <c r="X118" s="25" t="s">
        <v>74</v>
      </c>
      <c r="Y118" s="25"/>
      <c r="Z118" s="25"/>
      <c r="AA118" s="25"/>
      <c r="AB118" s="24">
        <f>68593</f>
        <v>68593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68593</f>
        <v>68593</v>
      </c>
      <c r="AX118" s="24"/>
      <c r="AY118" s="25" t="s">
        <v>74</v>
      </c>
      <c r="AZ118" s="25"/>
      <c r="BA118" s="24">
        <f>49226</f>
        <v>49226</v>
      </c>
      <c r="BB118" s="24"/>
      <c r="BC118" s="24"/>
      <c r="BD118" s="25" t="s">
        <v>74</v>
      </c>
      <c r="BE118" s="25"/>
      <c r="BF118" s="24">
        <f>49226</f>
        <v>49226</v>
      </c>
      <c r="BG118" s="24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49226</f>
        <v>49226</v>
      </c>
      <c r="BR118" s="24"/>
      <c r="BS118" s="24"/>
      <c r="BT118" s="27" t="s">
        <v>74</v>
      </c>
    </row>
    <row r="119" spans="1:72" s="1" customFormat="1" ht="13.5" customHeight="1">
      <c r="A119" s="16" t="s">
        <v>220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191</v>
      </c>
      <c r="N119" s="23"/>
      <c r="O119" s="23"/>
      <c r="P119" s="31" t="s">
        <v>261</v>
      </c>
      <c r="Q119" s="31"/>
      <c r="R119" s="31"/>
      <c r="S119" s="31"/>
      <c r="T119" s="31"/>
      <c r="U119" s="24">
        <f>68593</f>
        <v>68593</v>
      </c>
      <c r="V119" s="24"/>
      <c r="W119" s="24"/>
      <c r="X119" s="25" t="s">
        <v>74</v>
      </c>
      <c r="Y119" s="25"/>
      <c r="Z119" s="25"/>
      <c r="AA119" s="25"/>
      <c r="AB119" s="24">
        <f>68593</f>
        <v>68593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68593</f>
        <v>68593</v>
      </c>
      <c r="AX119" s="24"/>
      <c r="AY119" s="25" t="s">
        <v>74</v>
      </c>
      <c r="AZ119" s="25"/>
      <c r="BA119" s="24">
        <f>49226</f>
        <v>49226</v>
      </c>
      <c r="BB119" s="24"/>
      <c r="BC119" s="24"/>
      <c r="BD119" s="25" t="s">
        <v>74</v>
      </c>
      <c r="BE119" s="25"/>
      <c r="BF119" s="24">
        <f>49226</f>
        <v>49226</v>
      </c>
      <c r="BG119" s="24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49226</f>
        <v>49226</v>
      </c>
      <c r="BR119" s="24"/>
      <c r="BS119" s="24"/>
      <c r="BT119" s="27" t="s">
        <v>74</v>
      </c>
    </row>
    <row r="120" spans="1:72" s="1" customFormat="1" ht="24" customHeight="1">
      <c r="A120" s="16" t="s">
        <v>222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191</v>
      </c>
      <c r="N120" s="23"/>
      <c r="O120" s="23"/>
      <c r="P120" s="31" t="s">
        <v>262</v>
      </c>
      <c r="Q120" s="31"/>
      <c r="R120" s="31"/>
      <c r="S120" s="31"/>
      <c r="T120" s="31"/>
      <c r="U120" s="24">
        <f>23565</f>
        <v>23565</v>
      </c>
      <c r="V120" s="24"/>
      <c r="W120" s="24"/>
      <c r="X120" s="25" t="s">
        <v>74</v>
      </c>
      <c r="Y120" s="25"/>
      <c r="Z120" s="25"/>
      <c r="AA120" s="25"/>
      <c r="AB120" s="24">
        <f>23565</f>
        <v>23565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23565</f>
        <v>23565</v>
      </c>
      <c r="AX120" s="24"/>
      <c r="AY120" s="25" t="s">
        <v>74</v>
      </c>
      <c r="AZ120" s="25"/>
      <c r="BA120" s="24">
        <f>9530</f>
        <v>9530</v>
      </c>
      <c r="BB120" s="24"/>
      <c r="BC120" s="24"/>
      <c r="BD120" s="25" t="s">
        <v>74</v>
      </c>
      <c r="BE120" s="25"/>
      <c r="BF120" s="24">
        <f>9530</f>
        <v>9530</v>
      </c>
      <c r="BG120" s="24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9530</f>
        <v>9530</v>
      </c>
      <c r="BR120" s="24"/>
      <c r="BS120" s="24"/>
      <c r="BT120" s="27" t="s">
        <v>74</v>
      </c>
    </row>
    <row r="121" spans="1:72" s="1" customFormat="1" ht="13.5" customHeight="1">
      <c r="A121" s="16" t="s">
        <v>224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191</v>
      </c>
      <c r="N121" s="23"/>
      <c r="O121" s="23"/>
      <c r="P121" s="31" t="s">
        <v>263</v>
      </c>
      <c r="Q121" s="31"/>
      <c r="R121" s="31"/>
      <c r="S121" s="31"/>
      <c r="T121" s="31"/>
      <c r="U121" s="24">
        <f>4000</f>
        <v>4000</v>
      </c>
      <c r="V121" s="24"/>
      <c r="W121" s="24"/>
      <c r="X121" s="25" t="s">
        <v>74</v>
      </c>
      <c r="Y121" s="25"/>
      <c r="Z121" s="25"/>
      <c r="AA121" s="25"/>
      <c r="AB121" s="24">
        <f>4000</f>
        <v>4000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4000</f>
        <v>4000</v>
      </c>
      <c r="AX121" s="24"/>
      <c r="AY121" s="25" t="s">
        <v>74</v>
      </c>
      <c r="AZ121" s="25"/>
      <c r="BA121" s="25" t="s">
        <v>74</v>
      </c>
      <c r="BB121" s="25"/>
      <c r="BC121" s="25"/>
      <c r="BD121" s="25" t="s">
        <v>74</v>
      </c>
      <c r="BE121" s="25"/>
      <c r="BF121" s="25" t="s">
        <v>74</v>
      </c>
      <c r="BG121" s="25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5" t="s">
        <v>74</v>
      </c>
      <c r="BR121" s="25"/>
      <c r="BS121" s="25"/>
      <c r="BT121" s="27" t="s">
        <v>74</v>
      </c>
    </row>
    <row r="122" spans="1:72" s="1" customFormat="1" ht="13.5" customHeight="1">
      <c r="A122" s="16" t="s">
        <v>264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191</v>
      </c>
      <c r="N122" s="23"/>
      <c r="O122" s="23"/>
      <c r="P122" s="31" t="s">
        <v>265</v>
      </c>
      <c r="Q122" s="31"/>
      <c r="R122" s="31"/>
      <c r="S122" s="31"/>
      <c r="T122" s="31"/>
      <c r="U122" s="24">
        <f>41028</f>
        <v>41028</v>
      </c>
      <c r="V122" s="24"/>
      <c r="W122" s="24"/>
      <c r="X122" s="25" t="s">
        <v>74</v>
      </c>
      <c r="Y122" s="25"/>
      <c r="Z122" s="25"/>
      <c r="AA122" s="25"/>
      <c r="AB122" s="24">
        <f>41028</f>
        <v>41028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41028</f>
        <v>41028</v>
      </c>
      <c r="AX122" s="24"/>
      <c r="AY122" s="25" t="s">
        <v>74</v>
      </c>
      <c r="AZ122" s="25"/>
      <c r="BA122" s="24">
        <f>39696</f>
        <v>39696</v>
      </c>
      <c r="BB122" s="24"/>
      <c r="BC122" s="24"/>
      <c r="BD122" s="25" t="s">
        <v>74</v>
      </c>
      <c r="BE122" s="25"/>
      <c r="BF122" s="24">
        <f>39696</f>
        <v>39696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39696</f>
        <v>39696</v>
      </c>
      <c r="BR122" s="24"/>
      <c r="BS122" s="24"/>
      <c r="BT122" s="27" t="s">
        <v>74</v>
      </c>
    </row>
    <row r="123" spans="1:72" s="1" customFormat="1" ht="13.5" customHeight="1">
      <c r="A123" s="16" t="s">
        <v>266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191</v>
      </c>
      <c r="N123" s="23"/>
      <c r="O123" s="23"/>
      <c r="P123" s="31" t="s">
        <v>267</v>
      </c>
      <c r="Q123" s="31"/>
      <c r="R123" s="31"/>
      <c r="S123" s="31"/>
      <c r="T123" s="31"/>
      <c r="U123" s="24">
        <f>293942</f>
        <v>293942</v>
      </c>
      <c r="V123" s="24"/>
      <c r="W123" s="24"/>
      <c r="X123" s="25" t="s">
        <v>74</v>
      </c>
      <c r="Y123" s="25"/>
      <c r="Z123" s="25"/>
      <c r="AA123" s="25"/>
      <c r="AB123" s="24">
        <f>293942</f>
        <v>293942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293942</f>
        <v>293942</v>
      </c>
      <c r="AX123" s="24"/>
      <c r="AY123" s="25" t="s">
        <v>74</v>
      </c>
      <c r="AZ123" s="25"/>
      <c r="BA123" s="24">
        <f>70526.76</f>
        <v>70526.76</v>
      </c>
      <c r="BB123" s="24"/>
      <c r="BC123" s="24"/>
      <c r="BD123" s="25" t="s">
        <v>74</v>
      </c>
      <c r="BE123" s="25"/>
      <c r="BF123" s="24">
        <f>70526.76</f>
        <v>70526.76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70526.76</f>
        <v>70526.76</v>
      </c>
      <c r="BR123" s="24"/>
      <c r="BS123" s="24"/>
      <c r="BT123" s="27" t="s">
        <v>74</v>
      </c>
    </row>
    <row r="124" spans="1:72" s="1" customFormat="1" ht="13.5" customHeight="1">
      <c r="A124" s="16" t="s">
        <v>268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191</v>
      </c>
      <c r="N124" s="23"/>
      <c r="O124" s="23"/>
      <c r="P124" s="31" t="s">
        <v>269</v>
      </c>
      <c r="Q124" s="31"/>
      <c r="R124" s="31"/>
      <c r="S124" s="31"/>
      <c r="T124" s="31"/>
      <c r="U124" s="24">
        <f>293942</f>
        <v>293942</v>
      </c>
      <c r="V124" s="24"/>
      <c r="W124" s="24"/>
      <c r="X124" s="25" t="s">
        <v>74</v>
      </c>
      <c r="Y124" s="25"/>
      <c r="Z124" s="25"/>
      <c r="AA124" s="25"/>
      <c r="AB124" s="24">
        <f>293942</f>
        <v>293942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293942</f>
        <v>293942</v>
      </c>
      <c r="AX124" s="24"/>
      <c r="AY124" s="25" t="s">
        <v>74</v>
      </c>
      <c r="AZ124" s="25"/>
      <c r="BA124" s="24">
        <f>70526.76</f>
        <v>70526.76</v>
      </c>
      <c r="BB124" s="24"/>
      <c r="BC124" s="24"/>
      <c r="BD124" s="25" t="s">
        <v>74</v>
      </c>
      <c r="BE124" s="25"/>
      <c r="BF124" s="24">
        <f>70526.76</f>
        <v>70526.76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70526.76</f>
        <v>70526.76</v>
      </c>
      <c r="BR124" s="24"/>
      <c r="BS124" s="24"/>
      <c r="BT124" s="27" t="s">
        <v>74</v>
      </c>
    </row>
    <row r="125" spans="1:72" s="1" customFormat="1" ht="54.75" customHeight="1">
      <c r="A125" s="16" t="s">
        <v>196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191</v>
      </c>
      <c r="N125" s="23"/>
      <c r="O125" s="23"/>
      <c r="P125" s="31" t="s">
        <v>270</v>
      </c>
      <c r="Q125" s="31"/>
      <c r="R125" s="31"/>
      <c r="S125" s="31"/>
      <c r="T125" s="31"/>
      <c r="U125" s="24">
        <f>293942</f>
        <v>293942</v>
      </c>
      <c r="V125" s="24"/>
      <c r="W125" s="24"/>
      <c r="X125" s="25" t="s">
        <v>74</v>
      </c>
      <c r="Y125" s="25"/>
      <c r="Z125" s="25"/>
      <c r="AA125" s="25"/>
      <c r="AB125" s="24">
        <f>293942</f>
        <v>293942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293942</f>
        <v>293942</v>
      </c>
      <c r="AX125" s="24"/>
      <c r="AY125" s="25" t="s">
        <v>74</v>
      </c>
      <c r="AZ125" s="25"/>
      <c r="BA125" s="24">
        <f>70526.76</f>
        <v>70526.76</v>
      </c>
      <c r="BB125" s="24"/>
      <c r="BC125" s="24"/>
      <c r="BD125" s="25" t="s">
        <v>74</v>
      </c>
      <c r="BE125" s="25"/>
      <c r="BF125" s="24">
        <f>70526.76</f>
        <v>70526.76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70526.76</f>
        <v>70526.76</v>
      </c>
      <c r="BR125" s="24"/>
      <c r="BS125" s="24"/>
      <c r="BT125" s="27" t="s">
        <v>74</v>
      </c>
    </row>
    <row r="126" spans="1:72" s="1" customFormat="1" ht="24" customHeight="1">
      <c r="A126" s="16" t="s">
        <v>198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191</v>
      </c>
      <c r="N126" s="23"/>
      <c r="O126" s="23"/>
      <c r="P126" s="31" t="s">
        <v>271</v>
      </c>
      <c r="Q126" s="31"/>
      <c r="R126" s="31"/>
      <c r="S126" s="31"/>
      <c r="T126" s="31"/>
      <c r="U126" s="24">
        <f>293942</f>
        <v>293942</v>
      </c>
      <c r="V126" s="24"/>
      <c r="W126" s="24"/>
      <c r="X126" s="25" t="s">
        <v>74</v>
      </c>
      <c r="Y126" s="25"/>
      <c r="Z126" s="25"/>
      <c r="AA126" s="25"/>
      <c r="AB126" s="24">
        <f>293942</f>
        <v>293942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293942</f>
        <v>293942</v>
      </c>
      <c r="AX126" s="24"/>
      <c r="AY126" s="25" t="s">
        <v>74</v>
      </c>
      <c r="AZ126" s="25"/>
      <c r="BA126" s="24">
        <f>70526.76</f>
        <v>70526.76</v>
      </c>
      <c r="BB126" s="24"/>
      <c r="BC126" s="24"/>
      <c r="BD126" s="25" t="s">
        <v>74</v>
      </c>
      <c r="BE126" s="25"/>
      <c r="BF126" s="24">
        <f>70526.76</f>
        <v>70526.76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70526.76</f>
        <v>70526.76</v>
      </c>
      <c r="BR126" s="24"/>
      <c r="BS126" s="24"/>
      <c r="BT126" s="27" t="s">
        <v>74</v>
      </c>
    </row>
    <row r="127" spans="1:72" s="1" customFormat="1" ht="24" customHeight="1">
      <c r="A127" s="16" t="s">
        <v>200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191</v>
      </c>
      <c r="N127" s="23"/>
      <c r="O127" s="23"/>
      <c r="P127" s="31" t="s">
        <v>272</v>
      </c>
      <c r="Q127" s="31"/>
      <c r="R127" s="31"/>
      <c r="S127" s="31"/>
      <c r="T127" s="31"/>
      <c r="U127" s="24">
        <f>225762</f>
        <v>225762</v>
      </c>
      <c r="V127" s="24"/>
      <c r="W127" s="24"/>
      <c r="X127" s="25" t="s">
        <v>74</v>
      </c>
      <c r="Y127" s="25"/>
      <c r="Z127" s="25"/>
      <c r="AA127" s="25"/>
      <c r="AB127" s="24">
        <f>225762</f>
        <v>225762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225762</f>
        <v>225762</v>
      </c>
      <c r="AX127" s="24"/>
      <c r="AY127" s="25" t="s">
        <v>74</v>
      </c>
      <c r="AZ127" s="25"/>
      <c r="BA127" s="24">
        <f>54271.92</f>
        <v>54271.92</v>
      </c>
      <c r="BB127" s="24"/>
      <c r="BC127" s="24"/>
      <c r="BD127" s="25" t="s">
        <v>74</v>
      </c>
      <c r="BE127" s="25"/>
      <c r="BF127" s="24">
        <f>54271.92</f>
        <v>54271.92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54271.92</f>
        <v>54271.92</v>
      </c>
      <c r="BR127" s="24"/>
      <c r="BS127" s="24"/>
      <c r="BT127" s="27" t="s">
        <v>74</v>
      </c>
    </row>
    <row r="128" spans="1:72" s="1" customFormat="1" ht="33.75" customHeight="1">
      <c r="A128" s="16" t="s">
        <v>202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191</v>
      </c>
      <c r="N128" s="23"/>
      <c r="O128" s="23"/>
      <c r="P128" s="31" t="s">
        <v>273</v>
      </c>
      <c r="Q128" s="31"/>
      <c r="R128" s="31"/>
      <c r="S128" s="31"/>
      <c r="T128" s="31"/>
      <c r="U128" s="24">
        <f>68180</f>
        <v>68180</v>
      </c>
      <c r="V128" s="24"/>
      <c r="W128" s="24"/>
      <c r="X128" s="25" t="s">
        <v>74</v>
      </c>
      <c r="Y128" s="25"/>
      <c r="Z128" s="25"/>
      <c r="AA128" s="25"/>
      <c r="AB128" s="24">
        <f>68180</f>
        <v>68180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68180</f>
        <v>68180</v>
      </c>
      <c r="AX128" s="24"/>
      <c r="AY128" s="25" t="s">
        <v>74</v>
      </c>
      <c r="AZ128" s="25"/>
      <c r="BA128" s="24">
        <f>16254.84</f>
        <v>16254.84</v>
      </c>
      <c r="BB128" s="24"/>
      <c r="BC128" s="24"/>
      <c r="BD128" s="25" t="s">
        <v>74</v>
      </c>
      <c r="BE128" s="25"/>
      <c r="BF128" s="24">
        <f>16254.84</f>
        <v>16254.84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16254.84</f>
        <v>16254.84</v>
      </c>
      <c r="BR128" s="24"/>
      <c r="BS128" s="24"/>
      <c r="BT128" s="27" t="s">
        <v>74</v>
      </c>
    </row>
    <row r="129" spans="1:72" s="1" customFormat="1" ht="24" customHeight="1">
      <c r="A129" s="16" t="s">
        <v>274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191</v>
      </c>
      <c r="N129" s="23"/>
      <c r="O129" s="23"/>
      <c r="P129" s="31" t="s">
        <v>275</v>
      </c>
      <c r="Q129" s="31"/>
      <c r="R129" s="31"/>
      <c r="S129" s="31"/>
      <c r="T129" s="31"/>
      <c r="U129" s="24">
        <f>55000</f>
        <v>55000</v>
      </c>
      <c r="V129" s="24"/>
      <c r="W129" s="24"/>
      <c r="X129" s="25" t="s">
        <v>74</v>
      </c>
      <c r="Y129" s="25"/>
      <c r="Z129" s="25"/>
      <c r="AA129" s="25"/>
      <c r="AB129" s="24">
        <f>55000</f>
        <v>55000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55000</f>
        <v>55000</v>
      </c>
      <c r="AX129" s="24"/>
      <c r="AY129" s="25" t="s">
        <v>74</v>
      </c>
      <c r="AZ129" s="25"/>
      <c r="BA129" s="25" t="s">
        <v>74</v>
      </c>
      <c r="BB129" s="25"/>
      <c r="BC129" s="25"/>
      <c r="BD129" s="25" t="s">
        <v>74</v>
      </c>
      <c r="BE129" s="25"/>
      <c r="BF129" s="25" t="s">
        <v>74</v>
      </c>
      <c r="BG129" s="25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5" t="s">
        <v>74</v>
      </c>
      <c r="BR129" s="25"/>
      <c r="BS129" s="25"/>
      <c r="BT129" s="27" t="s">
        <v>74</v>
      </c>
    </row>
    <row r="130" spans="1:72" s="1" customFormat="1" ht="33.75" customHeight="1">
      <c r="A130" s="16" t="s">
        <v>276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191</v>
      </c>
      <c r="N130" s="23"/>
      <c r="O130" s="23"/>
      <c r="P130" s="31" t="s">
        <v>277</v>
      </c>
      <c r="Q130" s="31"/>
      <c r="R130" s="31"/>
      <c r="S130" s="31"/>
      <c r="T130" s="31"/>
      <c r="U130" s="24">
        <f>55000</f>
        <v>55000</v>
      </c>
      <c r="V130" s="24"/>
      <c r="W130" s="24"/>
      <c r="X130" s="25" t="s">
        <v>74</v>
      </c>
      <c r="Y130" s="25"/>
      <c r="Z130" s="25"/>
      <c r="AA130" s="25"/>
      <c r="AB130" s="24">
        <f>55000</f>
        <v>55000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55000</f>
        <v>55000</v>
      </c>
      <c r="AX130" s="24"/>
      <c r="AY130" s="25" t="s">
        <v>74</v>
      </c>
      <c r="AZ130" s="25"/>
      <c r="BA130" s="25" t="s">
        <v>74</v>
      </c>
      <c r="BB130" s="25"/>
      <c r="BC130" s="25"/>
      <c r="BD130" s="25" t="s">
        <v>74</v>
      </c>
      <c r="BE130" s="25"/>
      <c r="BF130" s="25" t="s">
        <v>74</v>
      </c>
      <c r="BG130" s="25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5" t="s">
        <v>74</v>
      </c>
      <c r="BR130" s="25"/>
      <c r="BS130" s="25"/>
      <c r="BT130" s="27" t="s">
        <v>74</v>
      </c>
    </row>
    <row r="131" spans="1:72" s="1" customFormat="1" ht="24" customHeight="1">
      <c r="A131" s="16" t="s">
        <v>210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191</v>
      </c>
      <c r="N131" s="23"/>
      <c r="O131" s="23"/>
      <c r="P131" s="31" t="s">
        <v>278</v>
      </c>
      <c r="Q131" s="31"/>
      <c r="R131" s="31"/>
      <c r="S131" s="31"/>
      <c r="T131" s="31"/>
      <c r="U131" s="24">
        <f>55000</f>
        <v>55000</v>
      </c>
      <c r="V131" s="24"/>
      <c r="W131" s="24"/>
      <c r="X131" s="25" t="s">
        <v>74</v>
      </c>
      <c r="Y131" s="25"/>
      <c r="Z131" s="25"/>
      <c r="AA131" s="25"/>
      <c r="AB131" s="24">
        <f>55000</f>
        <v>55000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55000</f>
        <v>55000</v>
      </c>
      <c r="AX131" s="24"/>
      <c r="AY131" s="25" t="s">
        <v>74</v>
      </c>
      <c r="AZ131" s="25"/>
      <c r="BA131" s="25" t="s">
        <v>74</v>
      </c>
      <c r="BB131" s="25"/>
      <c r="BC131" s="25"/>
      <c r="BD131" s="25" t="s">
        <v>74</v>
      </c>
      <c r="BE131" s="25"/>
      <c r="BF131" s="25" t="s">
        <v>74</v>
      </c>
      <c r="BG131" s="25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5" t="s">
        <v>74</v>
      </c>
      <c r="BR131" s="25"/>
      <c r="BS131" s="25"/>
      <c r="BT131" s="27" t="s">
        <v>74</v>
      </c>
    </row>
    <row r="132" spans="1:72" s="1" customFormat="1" ht="24" customHeight="1">
      <c r="A132" s="16" t="s">
        <v>212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191</v>
      </c>
      <c r="N132" s="23"/>
      <c r="O132" s="23"/>
      <c r="P132" s="31" t="s">
        <v>279</v>
      </c>
      <c r="Q132" s="31"/>
      <c r="R132" s="31"/>
      <c r="S132" s="31"/>
      <c r="T132" s="31"/>
      <c r="U132" s="24">
        <f>55000</f>
        <v>55000</v>
      </c>
      <c r="V132" s="24"/>
      <c r="W132" s="24"/>
      <c r="X132" s="25" t="s">
        <v>74</v>
      </c>
      <c r="Y132" s="25"/>
      <c r="Z132" s="25"/>
      <c r="AA132" s="25"/>
      <c r="AB132" s="24">
        <f>55000</f>
        <v>55000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55000</f>
        <v>55000</v>
      </c>
      <c r="AX132" s="24"/>
      <c r="AY132" s="25" t="s">
        <v>74</v>
      </c>
      <c r="AZ132" s="25"/>
      <c r="BA132" s="25" t="s">
        <v>74</v>
      </c>
      <c r="BB132" s="25"/>
      <c r="BC132" s="25"/>
      <c r="BD132" s="25" t="s">
        <v>74</v>
      </c>
      <c r="BE132" s="25"/>
      <c r="BF132" s="25" t="s">
        <v>74</v>
      </c>
      <c r="BG132" s="25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5" t="s">
        <v>74</v>
      </c>
      <c r="BR132" s="25"/>
      <c r="BS132" s="25"/>
      <c r="BT132" s="27" t="s">
        <v>74</v>
      </c>
    </row>
    <row r="133" spans="1:72" s="1" customFormat="1" ht="13.5" customHeight="1">
      <c r="A133" s="16" t="s">
        <v>214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191</v>
      </c>
      <c r="N133" s="23"/>
      <c r="O133" s="23"/>
      <c r="P133" s="31" t="s">
        <v>280</v>
      </c>
      <c r="Q133" s="31"/>
      <c r="R133" s="31"/>
      <c r="S133" s="31"/>
      <c r="T133" s="31"/>
      <c r="U133" s="24">
        <f>55000</f>
        <v>55000</v>
      </c>
      <c r="V133" s="24"/>
      <c r="W133" s="24"/>
      <c r="X133" s="25" t="s">
        <v>74</v>
      </c>
      <c r="Y133" s="25"/>
      <c r="Z133" s="25"/>
      <c r="AA133" s="25"/>
      <c r="AB133" s="24">
        <f>55000</f>
        <v>55000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55000</f>
        <v>55000</v>
      </c>
      <c r="AX133" s="24"/>
      <c r="AY133" s="25" t="s">
        <v>74</v>
      </c>
      <c r="AZ133" s="25"/>
      <c r="BA133" s="25" t="s">
        <v>74</v>
      </c>
      <c r="BB133" s="25"/>
      <c r="BC133" s="25"/>
      <c r="BD133" s="25" t="s">
        <v>74</v>
      </c>
      <c r="BE133" s="25"/>
      <c r="BF133" s="25" t="s">
        <v>74</v>
      </c>
      <c r="BG133" s="25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5" t="s">
        <v>74</v>
      </c>
      <c r="BR133" s="25"/>
      <c r="BS133" s="25"/>
      <c r="BT133" s="27" t="s">
        <v>74</v>
      </c>
    </row>
    <row r="134" spans="1:72" s="1" customFormat="1" ht="13.5" customHeight="1">
      <c r="A134" s="16" t="s">
        <v>281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191</v>
      </c>
      <c r="N134" s="23"/>
      <c r="O134" s="23"/>
      <c r="P134" s="31" t="s">
        <v>282</v>
      </c>
      <c r="Q134" s="31"/>
      <c r="R134" s="31"/>
      <c r="S134" s="31"/>
      <c r="T134" s="31"/>
      <c r="U134" s="24">
        <f>15071473.87</f>
        <v>15071473.87</v>
      </c>
      <c r="V134" s="24"/>
      <c r="W134" s="24"/>
      <c r="X134" s="25" t="s">
        <v>74</v>
      </c>
      <c r="Y134" s="25"/>
      <c r="Z134" s="25"/>
      <c r="AA134" s="25"/>
      <c r="AB134" s="24">
        <f>15071473.87</f>
        <v>15071473.87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15071473.87</f>
        <v>15071473.87</v>
      </c>
      <c r="AX134" s="24"/>
      <c r="AY134" s="25" t="s">
        <v>74</v>
      </c>
      <c r="AZ134" s="25"/>
      <c r="BA134" s="24">
        <f>1569308.31</f>
        <v>1569308.31</v>
      </c>
      <c r="BB134" s="24"/>
      <c r="BC134" s="24"/>
      <c r="BD134" s="25" t="s">
        <v>74</v>
      </c>
      <c r="BE134" s="25"/>
      <c r="BF134" s="24">
        <f>1569308.31</f>
        <v>1569308.31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1569308.31</f>
        <v>1569308.31</v>
      </c>
      <c r="BR134" s="24"/>
      <c r="BS134" s="24"/>
      <c r="BT134" s="27" t="s">
        <v>74</v>
      </c>
    </row>
    <row r="135" spans="1:72" s="1" customFormat="1" ht="13.5" customHeight="1">
      <c r="A135" s="16" t="s">
        <v>283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191</v>
      </c>
      <c r="N135" s="23"/>
      <c r="O135" s="23"/>
      <c r="P135" s="31" t="s">
        <v>284</v>
      </c>
      <c r="Q135" s="31"/>
      <c r="R135" s="31"/>
      <c r="S135" s="31"/>
      <c r="T135" s="31"/>
      <c r="U135" s="24">
        <f>14870473.87</f>
        <v>14870473.87</v>
      </c>
      <c r="V135" s="24"/>
      <c r="W135" s="24"/>
      <c r="X135" s="25" t="s">
        <v>74</v>
      </c>
      <c r="Y135" s="25"/>
      <c r="Z135" s="25"/>
      <c r="AA135" s="25"/>
      <c r="AB135" s="24">
        <f>14870473.87</f>
        <v>14870473.87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14870473.87</f>
        <v>14870473.87</v>
      </c>
      <c r="AX135" s="24"/>
      <c r="AY135" s="25" t="s">
        <v>74</v>
      </c>
      <c r="AZ135" s="25"/>
      <c r="BA135" s="24">
        <f>1569308.31</f>
        <v>1569308.31</v>
      </c>
      <c r="BB135" s="24"/>
      <c r="BC135" s="24"/>
      <c r="BD135" s="25" t="s">
        <v>74</v>
      </c>
      <c r="BE135" s="25"/>
      <c r="BF135" s="24">
        <f>1569308.31</f>
        <v>1569308.31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1569308.31</f>
        <v>1569308.31</v>
      </c>
      <c r="BR135" s="24"/>
      <c r="BS135" s="24"/>
      <c r="BT135" s="27" t="s">
        <v>74</v>
      </c>
    </row>
    <row r="136" spans="1:72" s="1" customFormat="1" ht="24" customHeight="1">
      <c r="A136" s="16" t="s">
        <v>210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191</v>
      </c>
      <c r="N136" s="23"/>
      <c r="O136" s="23"/>
      <c r="P136" s="31" t="s">
        <v>285</v>
      </c>
      <c r="Q136" s="31"/>
      <c r="R136" s="31"/>
      <c r="S136" s="31"/>
      <c r="T136" s="31"/>
      <c r="U136" s="24">
        <f>14870473.87</f>
        <v>14870473.87</v>
      </c>
      <c r="V136" s="24"/>
      <c r="W136" s="24"/>
      <c r="X136" s="25" t="s">
        <v>74</v>
      </c>
      <c r="Y136" s="25"/>
      <c r="Z136" s="25"/>
      <c r="AA136" s="25"/>
      <c r="AB136" s="24">
        <f>14870473.87</f>
        <v>14870473.87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14870473.87</f>
        <v>14870473.87</v>
      </c>
      <c r="AX136" s="24"/>
      <c r="AY136" s="25" t="s">
        <v>74</v>
      </c>
      <c r="AZ136" s="25"/>
      <c r="BA136" s="24">
        <f>1569308.31</f>
        <v>1569308.31</v>
      </c>
      <c r="BB136" s="24"/>
      <c r="BC136" s="24"/>
      <c r="BD136" s="25" t="s">
        <v>74</v>
      </c>
      <c r="BE136" s="25"/>
      <c r="BF136" s="24">
        <f>1569308.31</f>
        <v>1569308.31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1569308.31</f>
        <v>1569308.31</v>
      </c>
      <c r="BR136" s="24"/>
      <c r="BS136" s="24"/>
      <c r="BT136" s="27" t="s">
        <v>74</v>
      </c>
    </row>
    <row r="137" spans="1:72" s="1" customFormat="1" ht="24" customHeight="1">
      <c r="A137" s="16" t="s">
        <v>212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191</v>
      </c>
      <c r="N137" s="23"/>
      <c r="O137" s="23"/>
      <c r="P137" s="31" t="s">
        <v>286</v>
      </c>
      <c r="Q137" s="31"/>
      <c r="R137" s="31"/>
      <c r="S137" s="31"/>
      <c r="T137" s="31"/>
      <c r="U137" s="24">
        <f>14870473.87</f>
        <v>14870473.87</v>
      </c>
      <c r="V137" s="24"/>
      <c r="W137" s="24"/>
      <c r="X137" s="25" t="s">
        <v>74</v>
      </c>
      <c r="Y137" s="25"/>
      <c r="Z137" s="25"/>
      <c r="AA137" s="25"/>
      <c r="AB137" s="24">
        <f>14870473.87</f>
        <v>14870473.87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14870473.87</f>
        <v>14870473.87</v>
      </c>
      <c r="AX137" s="24"/>
      <c r="AY137" s="25" t="s">
        <v>74</v>
      </c>
      <c r="AZ137" s="25"/>
      <c r="BA137" s="24">
        <f>1569308.31</f>
        <v>1569308.31</v>
      </c>
      <c r="BB137" s="24"/>
      <c r="BC137" s="24"/>
      <c r="BD137" s="25" t="s">
        <v>74</v>
      </c>
      <c r="BE137" s="25"/>
      <c r="BF137" s="24">
        <f>1569308.31</f>
        <v>1569308.31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1569308.31</f>
        <v>1569308.31</v>
      </c>
      <c r="BR137" s="24"/>
      <c r="BS137" s="24"/>
      <c r="BT137" s="27" t="s">
        <v>74</v>
      </c>
    </row>
    <row r="138" spans="1:72" s="1" customFormat="1" ht="24" customHeight="1">
      <c r="A138" s="16" t="s">
        <v>287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191</v>
      </c>
      <c r="N138" s="23"/>
      <c r="O138" s="23"/>
      <c r="P138" s="31" t="s">
        <v>288</v>
      </c>
      <c r="Q138" s="31"/>
      <c r="R138" s="31"/>
      <c r="S138" s="31"/>
      <c r="T138" s="31"/>
      <c r="U138" s="24">
        <f>2283461.4</f>
        <v>2283461.4</v>
      </c>
      <c r="V138" s="24"/>
      <c r="W138" s="24"/>
      <c r="X138" s="25" t="s">
        <v>74</v>
      </c>
      <c r="Y138" s="25"/>
      <c r="Z138" s="25"/>
      <c r="AA138" s="25"/>
      <c r="AB138" s="24">
        <f>2283461.4</f>
        <v>2283461.4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2283461.4</f>
        <v>2283461.4</v>
      </c>
      <c r="AX138" s="24"/>
      <c r="AY138" s="25" t="s">
        <v>74</v>
      </c>
      <c r="AZ138" s="25"/>
      <c r="BA138" s="25" t="s">
        <v>74</v>
      </c>
      <c r="BB138" s="25"/>
      <c r="BC138" s="25"/>
      <c r="BD138" s="25" t="s">
        <v>74</v>
      </c>
      <c r="BE138" s="25"/>
      <c r="BF138" s="25" t="s">
        <v>74</v>
      </c>
      <c r="BG138" s="25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5" t="s">
        <v>74</v>
      </c>
      <c r="BR138" s="25"/>
      <c r="BS138" s="25"/>
      <c r="BT138" s="27" t="s">
        <v>74</v>
      </c>
    </row>
    <row r="139" spans="1:72" s="1" customFormat="1" ht="13.5" customHeight="1">
      <c r="A139" s="16" t="s">
        <v>214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191</v>
      </c>
      <c r="N139" s="23"/>
      <c r="O139" s="23"/>
      <c r="P139" s="31" t="s">
        <v>289</v>
      </c>
      <c r="Q139" s="31"/>
      <c r="R139" s="31"/>
      <c r="S139" s="31"/>
      <c r="T139" s="31"/>
      <c r="U139" s="24">
        <f>12587012.47</f>
        <v>12587012.47</v>
      </c>
      <c r="V139" s="24"/>
      <c r="W139" s="24"/>
      <c r="X139" s="25" t="s">
        <v>74</v>
      </c>
      <c r="Y139" s="25"/>
      <c r="Z139" s="25"/>
      <c r="AA139" s="25"/>
      <c r="AB139" s="24">
        <f>12587012.47</f>
        <v>12587012.47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12587012.47</f>
        <v>12587012.47</v>
      </c>
      <c r="AX139" s="24"/>
      <c r="AY139" s="25" t="s">
        <v>74</v>
      </c>
      <c r="AZ139" s="25"/>
      <c r="BA139" s="24">
        <f>1569308.31</f>
        <v>1569308.31</v>
      </c>
      <c r="BB139" s="24"/>
      <c r="BC139" s="24"/>
      <c r="BD139" s="25" t="s">
        <v>74</v>
      </c>
      <c r="BE139" s="25"/>
      <c r="BF139" s="24">
        <f>1569308.31</f>
        <v>1569308.31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1569308.31</f>
        <v>1569308.31</v>
      </c>
      <c r="BR139" s="24"/>
      <c r="BS139" s="24"/>
      <c r="BT139" s="27" t="s">
        <v>74</v>
      </c>
    </row>
    <row r="140" spans="1:72" s="1" customFormat="1" ht="13.5" customHeight="1">
      <c r="A140" s="16" t="s">
        <v>290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191</v>
      </c>
      <c r="N140" s="23"/>
      <c r="O140" s="23"/>
      <c r="P140" s="31" t="s">
        <v>291</v>
      </c>
      <c r="Q140" s="31"/>
      <c r="R140" s="31"/>
      <c r="S140" s="31"/>
      <c r="T140" s="31"/>
      <c r="U140" s="24">
        <f>201000</f>
        <v>201000</v>
      </c>
      <c r="V140" s="24"/>
      <c r="W140" s="24"/>
      <c r="X140" s="25" t="s">
        <v>74</v>
      </c>
      <c r="Y140" s="25"/>
      <c r="Z140" s="25"/>
      <c r="AA140" s="25"/>
      <c r="AB140" s="24">
        <f>201000</f>
        <v>201000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201000</f>
        <v>201000</v>
      </c>
      <c r="AX140" s="24"/>
      <c r="AY140" s="25" t="s">
        <v>74</v>
      </c>
      <c r="AZ140" s="25"/>
      <c r="BA140" s="25" t="s">
        <v>74</v>
      </c>
      <c r="BB140" s="25"/>
      <c r="BC140" s="25"/>
      <c r="BD140" s="25" t="s">
        <v>74</v>
      </c>
      <c r="BE140" s="25"/>
      <c r="BF140" s="25" t="s">
        <v>74</v>
      </c>
      <c r="BG140" s="25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5" t="s">
        <v>74</v>
      </c>
      <c r="BR140" s="25"/>
      <c r="BS140" s="25"/>
      <c r="BT140" s="27" t="s">
        <v>74</v>
      </c>
    </row>
    <row r="141" spans="1:72" s="1" customFormat="1" ht="24" customHeight="1">
      <c r="A141" s="16" t="s">
        <v>210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191</v>
      </c>
      <c r="N141" s="23"/>
      <c r="O141" s="23"/>
      <c r="P141" s="31" t="s">
        <v>292</v>
      </c>
      <c r="Q141" s="31"/>
      <c r="R141" s="31"/>
      <c r="S141" s="31"/>
      <c r="T141" s="31"/>
      <c r="U141" s="24">
        <f>201000</f>
        <v>201000</v>
      </c>
      <c r="V141" s="24"/>
      <c r="W141" s="24"/>
      <c r="X141" s="25" t="s">
        <v>74</v>
      </c>
      <c r="Y141" s="25"/>
      <c r="Z141" s="25"/>
      <c r="AA141" s="25"/>
      <c r="AB141" s="24">
        <f>201000</f>
        <v>201000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201000</f>
        <v>201000</v>
      </c>
      <c r="AX141" s="24"/>
      <c r="AY141" s="25" t="s">
        <v>74</v>
      </c>
      <c r="AZ141" s="25"/>
      <c r="BA141" s="25" t="s">
        <v>74</v>
      </c>
      <c r="BB141" s="25"/>
      <c r="BC141" s="25"/>
      <c r="BD141" s="25" t="s">
        <v>74</v>
      </c>
      <c r="BE141" s="25"/>
      <c r="BF141" s="25" t="s">
        <v>74</v>
      </c>
      <c r="BG141" s="25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5" t="s">
        <v>74</v>
      </c>
      <c r="BR141" s="25"/>
      <c r="BS141" s="25"/>
      <c r="BT141" s="27" t="s">
        <v>74</v>
      </c>
    </row>
    <row r="142" spans="1:72" s="1" customFormat="1" ht="24" customHeight="1">
      <c r="A142" s="16" t="s">
        <v>212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191</v>
      </c>
      <c r="N142" s="23"/>
      <c r="O142" s="23"/>
      <c r="P142" s="31" t="s">
        <v>293</v>
      </c>
      <c r="Q142" s="31"/>
      <c r="R142" s="31"/>
      <c r="S142" s="31"/>
      <c r="T142" s="31"/>
      <c r="U142" s="24">
        <f>201000</f>
        <v>201000</v>
      </c>
      <c r="V142" s="24"/>
      <c r="W142" s="24"/>
      <c r="X142" s="25" t="s">
        <v>74</v>
      </c>
      <c r="Y142" s="25"/>
      <c r="Z142" s="25"/>
      <c r="AA142" s="25"/>
      <c r="AB142" s="24">
        <f>201000</f>
        <v>201000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201000</f>
        <v>201000</v>
      </c>
      <c r="AX142" s="24"/>
      <c r="AY142" s="25" t="s">
        <v>74</v>
      </c>
      <c r="AZ142" s="25"/>
      <c r="BA142" s="25" t="s">
        <v>74</v>
      </c>
      <c r="BB142" s="25"/>
      <c r="BC142" s="25"/>
      <c r="BD142" s="25" t="s">
        <v>74</v>
      </c>
      <c r="BE142" s="25"/>
      <c r="BF142" s="25" t="s">
        <v>74</v>
      </c>
      <c r="BG142" s="25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5" t="s">
        <v>74</v>
      </c>
      <c r="BR142" s="25"/>
      <c r="BS142" s="25"/>
      <c r="BT142" s="27" t="s">
        <v>74</v>
      </c>
    </row>
    <row r="143" spans="1:72" s="1" customFormat="1" ht="13.5" customHeight="1">
      <c r="A143" s="16" t="s">
        <v>214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191</v>
      </c>
      <c r="N143" s="23"/>
      <c r="O143" s="23"/>
      <c r="P143" s="31" t="s">
        <v>294</v>
      </c>
      <c r="Q143" s="31"/>
      <c r="R143" s="31"/>
      <c r="S143" s="31"/>
      <c r="T143" s="31"/>
      <c r="U143" s="24">
        <f>201000</f>
        <v>201000</v>
      </c>
      <c r="V143" s="24"/>
      <c r="W143" s="24"/>
      <c r="X143" s="25" t="s">
        <v>74</v>
      </c>
      <c r="Y143" s="25"/>
      <c r="Z143" s="25"/>
      <c r="AA143" s="25"/>
      <c r="AB143" s="24">
        <f>201000</f>
        <v>201000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201000</f>
        <v>201000</v>
      </c>
      <c r="AX143" s="24"/>
      <c r="AY143" s="25" t="s">
        <v>74</v>
      </c>
      <c r="AZ143" s="25"/>
      <c r="BA143" s="25" t="s">
        <v>74</v>
      </c>
      <c r="BB143" s="25"/>
      <c r="BC143" s="25"/>
      <c r="BD143" s="25" t="s">
        <v>74</v>
      </c>
      <c r="BE143" s="25"/>
      <c r="BF143" s="25" t="s">
        <v>74</v>
      </c>
      <c r="BG143" s="25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5" t="s">
        <v>74</v>
      </c>
      <c r="BR143" s="25"/>
      <c r="BS143" s="25"/>
      <c r="BT143" s="27" t="s">
        <v>74</v>
      </c>
    </row>
    <row r="144" spans="1:72" s="1" customFormat="1" ht="13.5" customHeight="1">
      <c r="A144" s="16" t="s">
        <v>295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191</v>
      </c>
      <c r="N144" s="23"/>
      <c r="O144" s="23"/>
      <c r="P144" s="31" t="s">
        <v>296</v>
      </c>
      <c r="Q144" s="31"/>
      <c r="R144" s="31"/>
      <c r="S144" s="31"/>
      <c r="T144" s="31"/>
      <c r="U144" s="24">
        <f>23167196</f>
        <v>23167196</v>
      </c>
      <c r="V144" s="24"/>
      <c r="W144" s="24"/>
      <c r="X144" s="25" t="s">
        <v>74</v>
      </c>
      <c r="Y144" s="25"/>
      <c r="Z144" s="25"/>
      <c r="AA144" s="25"/>
      <c r="AB144" s="24">
        <f>23167196</f>
        <v>23167196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23167196</f>
        <v>23167196</v>
      </c>
      <c r="AX144" s="24"/>
      <c r="AY144" s="25" t="s">
        <v>74</v>
      </c>
      <c r="AZ144" s="25"/>
      <c r="BA144" s="24">
        <f>1268498.48</f>
        <v>1268498.48</v>
      </c>
      <c r="BB144" s="24"/>
      <c r="BC144" s="24"/>
      <c r="BD144" s="25" t="s">
        <v>74</v>
      </c>
      <c r="BE144" s="25"/>
      <c r="BF144" s="24">
        <f>1268498.48</f>
        <v>1268498.48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1268498.48</f>
        <v>1268498.48</v>
      </c>
      <c r="BR144" s="24"/>
      <c r="BS144" s="24"/>
      <c r="BT144" s="27" t="s">
        <v>74</v>
      </c>
    </row>
    <row r="145" spans="1:72" s="1" customFormat="1" ht="13.5" customHeight="1">
      <c r="A145" s="16" t="s">
        <v>297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191</v>
      </c>
      <c r="N145" s="23"/>
      <c r="O145" s="23"/>
      <c r="P145" s="31" t="s">
        <v>298</v>
      </c>
      <c r="Q145" s="31"/>
      <c r="R145" s="31"/>
      <c r="S145" s="31"/>
      <c r="T145" s="31"/>
      <c r="U145" s="24">
        <f>763000</f>
        <v>763000</v>
      </c>
      <c r="V145" s="24"/>
      <c r="W145" s="24"/>
      <c r="X145" s="25" t="s">
        <v>74</v>
      </c>
      <c r="Y145" s="25"/>
      <c r="Z145" s="25"/>
      <c r="AA145" s="25"/>
      <c r="AB145" s="24">
        <f>763000</f>
        <v>763000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763000</f>
        <v>763000</v>
      </c>
      <c r="AX145" s="24"/>
      <c r="AY145" s="25" t="s">
        <v>74</v>
      </c>
      <c r="AZ145" s="25"/>
      <c r="BA145" s="24">
        <f>192510.26</f>
        <v>192510.26</v>
      </c>
      <c r="BB145" s="24"/>
      <c r="BC145" s="24"/>
      <c r="BD145" s="25" t="s">
        <v>74</v>
      </c>
      <c r="BE145" s="25"/>
      <c r="BF145" s="24">
        <f>192510.26</f>
        <v>192510.26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192510.26</f>
        <v>192510.26</v>
      </c>
      <c r="BR145" s="24"/>
      <c r="BS145" s="24"/>
      <c r="BT145" s="27" t="s">
        <v>74</v>
      </c>
    </row>
    <row r="146" spans="1:72" s="1" customFormat="1" ht="24" customHeight="1">
      <c r="A146" s="16" t="s">
        <v>210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191</v>
      </c>
      <c r="N146" s="23"/>
      <c r="O146" s="23"/>
      <c r="P146" s="31" t="s">
        <v>299</v>
      </c>
      <c r="Q146" s="31"/>
      <c r="R146" s="31"/>
      <c r="S146" s="31"/>
      <c r="T146" s="31"/>
      <c r="U146" s="24">
        <f>763000</f>
        <v>763000</v>
      </c>
      <c r="V146" s="24"/>
      <c r="W146" s="24"/>
      <c r="X146" s="25" t="s">
        <v>74</v>
      </c>
      <c r="Y146" s="25"/>
      <c r="Z146" s="25"/>
      <c r="AA146" s="25"/>
      <c r="AB146" s="24">
        <f>763000</f>
        <v>763000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763000</f>
        <v>763000</v>
      </c>
      <c r="AX146" s="24"/>
      <c r="AY146" s="25" t="s">
        <v>74</v>
      </c>
      <c r="AZ146" s="25"/>
      <c r="BA146" s="24">
        <f>192510.26</f>
        <v>192510.26</v>
      </c>
      <c r="BB146" s="24"/>
      <c r="BC146" s="24"/>
      <c r="BD146" s="25" t="s">
        <v>74</v>
      </c>
      <c r="BE146" s="25"/>
      <c r="BF146" s="24">
        <f>192510.26</f>
        <v>192510.26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192510.26</f>
        <v>192510.26</v>
      </c>
      <c r="BR146" s="24"/>
      <c r="BS146" s="24"/>
      <c r="BT146" s="27" t="s">
        <v>74</v>
      </c>
    </row>
    <row r="147" spans="1:72" s="1" customFormat="1" ht="24" customHeight="1">
      <c r="A147" s="16" t="s">
        <v>212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191</v>
      </c>
      <c r="N147" s="23"/>
      <c r="O147" s="23"/>
      <c r="P147" s="31" t="s">
        <v>300</v>
      </c>
      <c r="Q147" s="31"/>
      <c r="R147" s="31"/>
      <c r="S147" s="31"/>
      <c r="T147" s="31"/>
      <c r="U147" s="24">
        <f>763000</f>
        <v>763000</v>
      </c>
      <c r="V147" s="24"/>
      <c r="W147" s="24"/>
      <c r="X147" s="25" t="s">
        <v>74</v>
      </c>
      <c r="Y147" s="25"/>
      <c r="Z147" s="25"/>
      <c r="AA147" s="25"/>
      <c r="AB147" s="24">
        <f>763000</f>
        <v>763000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763000</f>
        <v>763000</v>
      </c>
      <c r="AX147" s="24"/>
      <c r="AY147" s="25" t="s">
        <v>74</v>
      </c>
      <c r="AZ147" s="25"/>
      <c r="BA147" s="24">
        <f>192510.26</f>
        <v>192510.26</v>
      </c>
      <c r="BB147" s="24"/>
      <c r="BC147" s="24"/>
      <c r="BD147" s="25" t="s">
        <v>74</v>
      </c>
      <c r="BE147" s="25"/>
      <c r="BF147" s="24">
        <f>192510.26</f>
        <v>192510.26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192510.26</f>
        <v>192510.26</v>
      </c>
      <c r="BR147" s="24"/>
      <c r="BS147" s="24"/>
      <c r="BT147" s="27" t="s">
        <v>74</v>
      </c>
    </row>
    <row r="148" spans="1:72" s="1" customFormat="1" ht="13.5" customHeight="1">
      <c r="A148" s="16" t="s">
        <v>214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191</v>
      </c>
      <c r="N148" s="23"/>
      <c r="O148" s="23"/>
      <c r="P148" s="31" t="s">
        <v>301</v>
      </c>
      <c r="Q148" s="31"/>
      <c r="R148" s="31"/>
      <c r="S148" s="31"/>
      <c r="T148" s="31"/>
      <c r="U148" s="24">
        <f>763000</f>
        <v>763000</v>
      </c>
      <c r="V148" s="24"/>
      <c r="W148" s="24"/>
      <c r="X148" s="25" t="s">
        <v>74</v>
      </c>
      <c r="Y148" s="25"/>
      <c r="Z148" s="25"/>
      <c r="AA148" s="25"/>
      <c r="AB148" s="24">
        <f>763000</f>
        <v>763000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763000</f>
        <v>763000</v>
      </c>
      <c r="AX148" s="24"/>
      <c r="AY148" s="25" t="s">
        <v>74</v>
      </c>
      <c r="AZ148" s="25"/>
      <c r="BA148" s="24">
        <f>192510.26</f>
        <v>192510.26</v>
      </c>
      <c r="BB148" s="24"/>
      <c r="BC148" s="24"/>
      <c r="BD148" s="25" t="s">
        <v>74</v>
      </c>
      <c r="BE148" s="25"/>
      <c r="BF148" s="24">
        <f>192510.26</f>
        <v>192510.26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192510.26</f>
        <v>192510.26</v>
      </c>
      <c r="BR148" s="24"/>
      <c r="BS148" s="24"/>
      <c r="BT148" s="27" t="s">
        <v>74</v>
      </c>
    </row>
    <row r="149" spans="1:72" s="1" customFormat="1" ht="13.5" customHeight="1">
      <c r="A149" s="16" t="s">
        <v>302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191</v>
      </c>
      <c r="N149" s="23"/>
      <c r="O149" s="23"/>
      <c r="P149" s="31" t="s">
        <v>303</v>
      </c>
      <c r="Q149" s="31"/>
      <c r="R149" s="31"/>
      <c r="S149" s="31"/>
      <c r="T149" s="31"/>
      <c r="U149" s="24">
        <f>22404196</f>
        <v>22404196</v>
      </c>
      <c r="V149" s="24"/>
      <c r="W149" s="24"/>
      <c r="X149" s="25" t="s">
        <v>74</v>
      </c>
      <c r="Y149" s="25"/>
      <c r="Z149" s="25"/>
      <c r="AA149" s="25"/>
      <c r="AB149" s="24">
        <f>22404196</f>
        <v>22404196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22404196</f>
        <v>22404196</v>
      </c>
      <c r="AX149" s="24"/>
      <c r="AY149" s="25" t="s">
        <v>74</v>
      </c>
      <c r="AZ149" s="25"/>
      <c r="BA149" s="24">
        <f>1075988.22</f>
        <v>1075988.22</v>
      </c>
      <c r="BB149" s="24"/>
      <c r="BC149" s="24"/>
      <c r="BD149" s="25" t="s">
        <v>74</v>
      </c>
      <c r="BE149" s="25"/>
      <c r="BF149" s="24">
        <f>1075988.22</f>
        <v>1075988.22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1075988.22</f>
        <v>1075988.22</v>
      </c>
      <c r="BR149" s="24"/>
      <c r="BS149" s="24"/>
      <c r="BT149" s="27" t="s">
        <v>74</v>
      </c>
    </row>
    <row r="150" spans="1:72" s="1" customFormat="1" ht="54.75" customHeight="1">
      <c r="A150" s="16" t="s">
        <v>196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191</v>
      </c>
      <c r="N150" s="23"/>
      <c r="O150" s="23"/>
      <c r="P150" s="31" t="s">
        <v>304</v>
      </c>
      <c r="Q150" s="31"/>
      <c r="R150" s="31"/>
      <c r="S150" s="31"/>
      <c r="T150" s="31"/>
      <c r="U150" s="24">
        <f>2381051</f>
        <v>2381051</v>
      </c>
      <c r="V150" s="24"/>
      <c r="W150" s="24"/>
      <c r="X150" s="25" t="s">
        <v>74</v>
      </c>
      <c r="Y150" s="25"/>
      <c r="Z150" s="25"/>
      <c r="AA150" s="25"/>
      <c r="AB150" s="24">
        <f>2381051</f>
        <v>2381051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2381051</f>
        <v>2381051</v>
      </c>
      <c r="AX150" s="24"/>
      <c r="AY150" s="25" t="s">
        <v>74</v>
      </c>
      <c r="AZ150" s="25"/>
      <c r="BA150" s="24">
        <f>464744.48</f>
        <v>464744.48</v>
      </c>
      <c r="BB150" s="24"/>
      <c r="BC150" s="24"/>
      <c r="BD150" s="25" t="s">
        <v>74</v>
      </c>
      <c r="BE150" s="25"/>
      <c r="BF150" s="24">
        <f>464744.48</f>
        <v>464744.48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464744.48</f>
        <v>464744.48</v>
      </c>
      <c r="BR150" s="24"/>
      <c r="BS150" s="24"/>
      <c r="BT150" s="27" t="s">
        <v>74</v>
      </c>
    </row>
    <row r="151" spans="1:72" s="1" customFormat="1" ht="13.5" customHeight="1">
      <c r="A151" s="16" t="s">
        <v>244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191</v>
      </c>
      <c r="N151" s="23"/>
      <c r="O151" s="23"/>
      <c r="P151" s="31" t="s">
        <v>305</v>
      </c>
      <c r="Q151" s="31"/>
      <c r="R151" s="31"/>
      <c r="S151" s="31"/>
      <c r="T151" s="31"/>
      <c r="U151" s="24">
        <f>2381051</f>
        <v>2381051</v>
      </c>
      <c r="V151" s="24"/>
      <c r="W151" s="24"/>
      <c r="X151" s="25" t="s">
        <v>74</v>
      </c>
      <c r="Y151" s="25"/>
      <c r="Z151" s="25"/>
      <c r="AA151" s="25"/>
      <c r="AB151" s="24">
        <f>2381051</f>
        <v>2381051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2381051</f>
        <v>2381051</v>
      </c>
      <c r="AX151" s="24"/>
      <c r="AY151" s="25" t="s">
        <v>74</v>
      </c>
      <c r="AZ151" s="25"/>
      <c r="BA151" s="24">
        <f>464744.48</f>
        <v>464744.48</v>
      </c>
      <c r="BB151" s="24"/>
      <c r="BC151" s="24"/>
      <c r="BD151" s="25" t="s">
        <v>74</v>
      </c>
      <c r="BE151" s="25"/>
      <c r="BF151" s="24">
        <f>464744.48</f>
        <v>464744.48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464744.48</f>
        <v>464744.48</v>
      </c>
      <c r="BR151" s="24"/>
      <c r="BS151" s="24"/>
      <c r="BT151" s="27" t="s">
        <v>74</v>
      </c>
    </row>
    <row r="152" spans="1:72" s="1" customFormat="1" ht="13.5" customHeight="1">
      <c r="A152" s="16" t="s">
        <v>246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191</v>
      </c>
      <c r="N152" s="23"/>
      <c r="O152" s="23"/>
      <c r="P152" s="31" t="s">
        <v>306</v>
      </c>
      <c r="Q152" s="31"/>
      <c r="R152" s="31"/>
      <c r="S152" s="31"/>
      <c r="T152" s="31"/>
      <c r="U152" s="24">
        <f>1827720</f>
        <v>1827720</v>
      </c>
      <c r="V152" s="24"/>
      <c r="W152" s="24"/>
      <c r="X152" s="25" t="s">
        <v>74</v>
      </c>
      <c r="Y152" s="25"/>
      <c r="Z152" s="25"/>
      <c r="AA152" s="25"/>
      <c r="AB152" s="24">
        <f>1827720</f>
        <v>1827720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1827720</f>
        <v>1827720</v>
      </c>
      <c r="AX152" s="24"/>
      <c r="AY152" s="25" t="s">
        <v>74</v>
      </c>
      <c r="AZ152" s="25"/>
      <c r="BA152" s="24">
        <f>375098.48</f>
        <v>375098.48</v>
      </c>
      <c r="BB152" s="24"/>
      <c r="BC152" s="24"/>
      <c r="BD152" s="25" t="s">
        <v>74</v>
      </c>
      <c r="BE152" s="25"/>
      <c r="BF152" s="24">
        <f>375098.48</f>
        <v>375098.48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375098.48</f>
        <v>375098.48</v>
      </c>
      <c r="BR152" s="24"/>
      <c r="BS152" s="24"/>
      <c r="BT152" s="27" t="s">
        <v>74</v>
      </c>
    </row>
    <row r="153" spans="1:72" s="1" customFormat="1" ht="33.75" customHeight="1">
      <c r="A153" s="16" t="s">
        <v>248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191</v>
      </c>
      <c r="N153" s="23"/>
      <c r="O153" s="23"/>
      <c r="P153" s="31" t="s">
        <v>307</v>
      </c>
      <c r="Q153" s="31"/>
      <c r="R153" s="31"/>
      <c r="S153" s="31"/>
      <c r="T153" s="31"/>
      <c r="U153" s="24">
        <f>553331</f>
        <v>553331</v>
      </c>
      <c r="V153" s="24"/>
      <c r="W153" s="24"/>
      <c r="X153" s="25" t="s">
        <v>74</v>
      </c>
      <c r="Y153" s="25"/>
      <c r="Z153" s="25"/>
      <c r="AA153" s="25"/>
      <c r="AB153" s="24">
        <f>553331</f>
        <v>553331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553331</f>
        <v>553331</v>
      </c>
      <c r="AX153" s="24"/>
      <c r="AY153" s="25" t="s">
        <v>74</v>
      </c>
      <c r="AZ153" s="25"/>
      <c r="BA153" s="24">
        <f>89646</f>
        <v>89646</v>
      </c>
      <c r="BB153" s="24"/>
      <c r="BC153" s="24"/>
      <c r="BD153" s="25" t="s">
        <v>74</v>
      </c>
      <c r="BE153" s="25"/>
      <c r="BF153" s="24">
        <f>89646</f>
        <v>89646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89646</f>
        <v>89646</v>
      </c>
      <c r="BR153" s="24"/>
      <c r="BS153" s="24"/>
      <c r="BT153" s="27" t="s">
        <v>74</v>
      </c>
    </row>
    <row r="154" spans="1:72" s="1" customFormat="1" ht="24" customHeight="1">
      <c r="A154" s="16" t="s">
        <v>210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191</v>
      </c>
      <c r="N154" s="23"/>
      <c r="O154" s="23"/>
      <c r="P154" s="31" t="s">
        <v>308</v>
      </c>
      <c r="Q154" s="31"/>
      <c r="R154" s="31"/>
      <c r="S154" s="31"/>
      <c r="T154" s="31"/>
      <c r="U154" s="24">
        <f>19933145</f>
        <v>19933145</v>
      </c>
      <c r="V154" s="24"/>
      <c r="W154" s="24"/>
      <c r="X154" s="25" t="s">
        <v>74</v>
      </c>
      <c r="Y154" s="25"/>
      <c r="Z154" s="25"/>
      <c r="AA154" s="25"/>
      <c r="AB154" s="24">
        <f>19933145</f>
        <v>19933145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19933145</f>
        <v>19933145</v>
      </c>
      <c r="AX154" s="24"/>
      <c r="AY154" s="25" t="s">
        <v>74</v>
      </c>
      <c r="AZ154" s="25"/>
      <c r="BA154" s="24">
        <f>601243.74</f>
        <v>601243.74</v>
      </c>
      <c r="BB154" s="24"/>
      <c r="BC154" s="24"/>
      <c r="BD154" s="25" t="s">
        <v>74</v>
      </c>
      <c r="BE154" s="25"/>
      <c r="BF154" s="24">
        <f>601243.74</f>
        <v>601243.74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601243.74</f>
        <v>601243.74</v>
      </c>
      <c r="BR154" s="24"/>
      <c r="BS154" s="24"/>
      <c r="BT154" s="27" t="s">
        <v>74</v>
      </c>
    </row>
    <row r="155" spans="1:72" s="1" customFormat="1" ht="24" customHeight="1">
      <c r="A155" s="16" t="s">
        <v>212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191</v>
      </c>
      <c r="N155" s="23"/>
      <c r="O155" s="23"/>
      <c r="P155" s="31" t="s">
        <v>309</v>
      </c>
      <c r="Q155" s="31"/>
      <c r="R155" s="31"/>
      <c r="S155" s="31"/>
      <c r="T155" s="31"/>
      <c r="U155" s="24">
        <f>19933145</f>
        <v>19933145</v>
      </c>
      <c r="V155" s="24"/>
      <c r="W155" s="24"/>
      <c r="X155" s="25" t="s">
        <v>74</v>
      </c>
      <c r="Y155" s="25"/>
      <c r="Z155" s="25"/>
      <c r="AA155" s="25"/>
      <c r="AB155" s="24">
        <f>19933145</f>
        <v>19933145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19933145</f>
        <v>19933145</v>
      </c>
      <c r="AX155" s="24"/>
      <c r="AY155" s="25" t="s">
        <v>74</v>
      </c>
      <c r="AZ155" s="25"/>
      <c r="BA155" s="24">
        <f>601243.74</f>
        <v>601243.74</v>
      </c>
      <c r="BB155" s="24"/>
      <c r="BC155" s="24"/>
      <c r="BD155" s="25" t="s">
        <v>74</v>
      </c>
      <c r="BE155" s="25"/>
      <c r="BF155" s="24">
        <f>601243.74</f>
        <v>601243.74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601243.74</f>
        <v>601243.74</v>
      </c>
      <c r="BR155" s="24"/>
      <c r="BS155" s="24"/>
      <c r="BT155" s="27" t="s">
        <v>74</v>
      </c>
    </row>
    <row r="156" spans="1:72" s="1" customFormat="1" ht="13.5" customHeight="1">
      <c r="A156" s="16" t="s">
        <v>214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191</v>
      </c>
      <c r="N156" s="23"/>
      <c r="O156" s="23"/>
      <c r="P156" s="31" t="s">
        <v>310</v>
      </c>
      <c r="Q156" s="31"/>
      <c r="R156" s="31"/>
      <c r="S156" s="31"/>
      <c r="T156" s="31"/>
      <c r="U156" s="24">
        <f>17733145</f>
        <v>17733145</v>
      </c>
      <c r="V156" s="24"/>
      <c r="W156" s="24"/>
      <c r="X156" s="25" t="s">
        <v>74</v>
      </c>
      <c r="Y156" s="25"/>
      <c r="Z156" s="25"/>
      <c r="AA156" s="25"/>
      <c r="AB156" s="24">
        <f>17733145</f>
        <v>17733145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17733145</f>
        <v>17733145</v>
      </c>
      <c r="AX156" s="24"/>
      <c r="AY156" s="25" t="s">
        <v>74</v>
      </c>
      <c r="AZ156" s="25"/>
      <c r="BA156" s="24">
        <f>212557.14</f>
        <v>212557.14</v>
      </c>
      <c r="BB156" s="24"/>
      <c r="BC156" s="24"/>
      <c r="BD156" s="25" t="s">
        <v>74</v>
      </c>
      <c r="BE156" s="25"/>
      <c r="BF156" s="24">
        <f>212557.14</f>
        <v>212557.14</v>
      </c>
      <c r="BG156" s="24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212557.14</f>
        <v>212557.14</v>
      </c>
      <c r="BR156" s="24"/>
      <c r="BS156" s="24"/>
      <c r="BT156" s="27" t="s">
        <v>74</v>
      </c>
    </row>
    <row r="157" spans="1:72" s="1" customFormat="1" ht="13.5" customHeight="1">
      <c r="A157" s="16" t="s">
        <v>216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191</v>
      </c>
      <c r="N157" s="23"/>
      <c r="O157" s="23"/>
      <c r="P157" s="31" t="s">
        <v>311</v>
      </c>
      <c r="Q157" s="31"/>
      <c r="R157" s="31"/>
      <c r="S157" s="31"/>
      <c r="T157" s="31"/>
      <c r="U157" s="24">
        <f>2200000</f>
        <v>2200000</v>
      </c>
      <c r="V157" s="24"/>
      <c r="W157" s="24"/>
      <c r="X157" s="25" t="s">
        <v>74</v>
      </c>
      <c r="Y157" s="25"/>
      <c r="Z157" s="25"/>
      <c r="AA157" s="25"/>
      <c r="AB157" s="24">
        <f>2200000</f>
        <v>2200000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2200000</f>
        <v>2200000</v>
      </c>
      <c r="AX157" s="24"/>
      <c r="AY157" s="25" t="s">
        <v>74</v>
      </c>
      <c r="AZ157" s="25"/>
      <c r="BA157" s="24">
        <f>388686.6</f>
        <v>388686.6</v>
      </c>
      <c r="BB157" s="24"/>
      <c r="BC157" s="24"/>
      <c r="BD157" s="25" t="s">
        <v>74</v>
      </c>
      <c r="BE157" s="25"/>
      <c r="BF157" s="24">
        <f>388686.6</f>
        <v>388686.6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388686.6</f>
        <v>388686.6</v>
      </c>
      <c r="BR157" s="24"/>
      <c r="BS157" s="24"/>
      <c r="BT157" s="27" t="s">
        <v>74</v>
      </c>
    </row>
    <row r="158" spans="1:72" s="1" customFormat="1" ht="13.5" customHeight="1">
      <c r="A158" s="16" t="s">
        <v>218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191</v>
      </c>
      <c r="N158" s="23"/>
      <c r="O158" s="23"/>
      <c r="P158" s="31" t="s">
        <v>312</v>
      </c>
      <c r="Q158" s="31"/>
      <c r="R158" s="31"/>
      <c r="S158" s="31"/>
      <c r="T158" s="31"/>
      <c r="U158" s="24">
        <f>90000</f>
        <v>90000</v>
      </c>
      <c r="V158" s="24"/>
      <c r="W158" s="24"/>
      <c r="X158" s="25" t="s">
        <v>74</v>
      </c>
      <c r="Y158" s="25"/>
      <c r="Z158" s="25"/>
      <c r="AA158" s="25"/>
      <c r="AB158" s="24">
        <f>90000</f>
        <v>90000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90000</f>
        <v>90000</v>
      </c>
      <c r="AX158" s="24"/>
      <c r="AY158" s="25" t="s">
        <v>74</v>
      </c>
      <c r="AZ158" s="25"/>
      <c r="BA158" s="24">
        <f>10000</f>
        <v>10000</v>
      </c>
      <c r="BB158" s="24"/>
      <c r="BC158" s="24"/>
      <c r="BD158" s="25" t="s">
        <v>74</v>
      </c>
      <c r="BE158" s="25"/>
      <c r="BF158" s="24">
        <f>10000</f>
        <v>10000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10000</f>
        <v>10000</v>
      </c>
      <c r="BR158" s="24"/>
      <c r="BS158" s="24"/>
      <c r="BT158" s="27" t="s">
        <v>74</v>
      </c>
    </row>
    <row r="159" spans="1:72" s="1" customFormat="1" ht="13.5" customHeight="1">
      <c r="A159" s="16" t="s">
        <v>220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191</v>
      </c>
      <c r="N159" s="23"/>
      <c r="O159" s="23"/>
      <c r="P159" s="31" t="s">
        <v>313</v>
      </c>
      <c r="Q159" s="31"/>
      <c r="R159" s="31"/>
      <c r="S159" s="31"/>
      <c r="T159" s="31"/>
      <c r="U159" s="24">
        <f>90000</f>
        <v>90000</v>
      </c>
      <c r="V159" s="24"/>
      <c r="W159" s="24"/>
      <c r="X159" s="25" t="s">
        <v>74</v>
      </c>
      <c r="Y159" s="25"/>
      <c r="Z159" s="25"/>
      <c r="AA159" s="25"/>
      <c r="AB159" s="24">
        <f>90000</f>
        <v>90000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90000</f>
        <v>90000</v>
      </c>
      <c r="AX159" s="24"/>
      <c r="AY159" s="25" t="s">
        <v>74</v>
      </c>
      <c r="AZ159" s="25"/>
      <c r="BA159" s="24">
        <f>10000</f>
        <v>10000</v>
      </c>
      <c r="BB159" s="24"/>
      <c r="BC159" s="24"/>
      <c r="BD159" s="25" t="s">
        <v>74</v>
      </c>
      <c r="BE159" s="25"/>
      <c r="BF159" s="24">
        <f>10000</f>
        <v>10000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10000</f>
        <v>10000</v>
      </c>
      <c r="BR159" s="24"/>
      <c r="BS159" s="24"/>
      <c r="BT159" s="27" t="s">
        <v>74</v>
      </c>
    </row>
    <row r="160" spans="1:72" s="1" customFormat="1" ht="24" customHeight="1">
      <c r="A160" s="16" t="s">
        <v>222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191</v>
      </c>
      <c r="N160" s="23"/>
      <c r="O160" s="23"/>
      <c r="P160" s="31" t="s">
        <v>314</v>
      </c>
      <c r="Q160" s="31"/>
      <c r="R160" s="31"/>
      <c r="S160" s="31"/>
      <c r="T160" s="31"/>
      <c r="U160" s="24">
        <f>80000</f>
        <v>80000</v>
      </c>
      <c r="V160" s="24"/>
      <c r="W160" s="24"/>
      <c r="X160" s="25" t="s">
        <v>74</v>
      </c>
      <c r="Y160" s="25"/>
      <c r="Z160" s="25"/>
      <c r="AA160" s="25"/>
      <c r="AB160" s="24">
        <f>80000</f>
        <v>80000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80000</f>
        <v>80000</v>
      </c>
      <c r="AX160" s="24"/>
      <c r="AY160" s="25" t="s">
        <v>74</v>
      </c>
      <c r="AZ160" s="25"/>
      <c r="BA160" s="24">
        <f>10000</f>
        <v>10000</v>
      </c>
      <c r="BB160" s="24"/>
      <c r="BC160" s="24"/>
      <c r="BD160" s="25" t="s">
        <v>74</v>
      </c>
      <c r="BE160" s="25"/>
      <c r="BF160" s="24">
        <f>10000</f>
        <v>10000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10000</f>
        <v>10000</v>
      </c>
      <c r="BR160" s="24"/>
      <c r="BS160" s="24"/>
      <c r="BT160" s="27" t="s">
        <v>74</v>
      </c>
    </row>
    <row r="161" spans="1:72" s="1" customFormat="1" ht="13.5" customHeight="1">
      <c r="A161" s="16" t="s">
        <v>224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191</v>
      </c>
      <c r="N161" s="23"/>
      <c r="O161" s="23"/>
      <c r="P161" s="31" t="s">
        <v>315</v>
      </c>
      <c r="Q161" s="31"/>
      <c r="R161" s="31"/>
      <c r="S161" s="31"/>
      <c r="T161" s="31"/>
      <c r="U161" s="24">
        <f>10000</f>
        <v>10000</v>
      </c>
      <c r="V161" s="24"/>
      <c r="W161" s="24"/>
      <c r="X161" s="25" t="s">
        <v>74</v>
      </c>
      <c r="Y161" s="25"/>
      <c r="Z161" s="25"/>
      <c r="AA161" s="25"/>
      <c r="AB161" s="24">
        <f>10000</f>
        <v>10000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10000</f>
        <v>10000</v>
      </c>
      <c r="AX161" s="24"/>
      <c r="AY161" s="25" t="s">
        <v>74</v>
      </c>
      <c r="AZ161" s="25"/>
      <c r="BA161" s="25" t="s">
        <v>74</v>
      </c>
      <c r="BB161" s="25"/>
      <c r="BC161" s="25"/>
      <c r="BD161" s="25" t="s">
        <v>74</v>
      </c>
      <c r="BE161" s="25"/>
      <c r="BF161" s="25" t="s">
        <v>74</v>
      </c>
      <c r="BG161" s="25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5" t="s">
        <v>74</v>
      </c>
      <c r="BR161" s="25"/>
      <c r="BS161" s="25"/>
      <c r="BT161" s="27" t="s">
        <v>74</v>
      </c>
    </row>
    <row r="162" spans="1:72" s="1" customFormat="1" ht="13.5" customHeight="1">
      <c r="A162" s="16" t="s">
        <v>316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191</v>
      </c>
      <c r="N162" s="23"/>
      <c r="O162" s="23"/>
      <c r="P162" s="31" t="s">
        <v>317</v>
      </c>
      <c r="Q162" s="31"/>
      <c r="R162" s="31"/>
      <c r="S162" s="31"/>
      <c r="T162" s="31"/>
      <c r="U162" s="24">
        <f>155500</f>
        <v>155500</v>
      </c>
      <c r="V162" s="24"/>
      <c r="W162" s="24"/>
      <c r="X162" s="25" t="s">
        <v>74</v>
      </c>
      <c r="Y162" s="25"/>
      <c r="Z162" s="25"/>
      <c r="AA162" s="25"/>
      <c r="AB162" s="24">
        <f>155500</f>
        <v>155500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155500</f>
        <v>155500</v>
      </c>
      <c r="AX162" s="24"/>
      <c r="AY162" s="25" t="s">
        <v>74</v>
      </c>
      <c r="AZ162" s="25"/>
      <c r="BA162" s="24">
        <f>16805</f>
        <v>16805</v>
      </c>
      <c r="BB162" s="24"/>
      <c r="BC162" s="24"/>
      <c r="BD162" s="25" t="s">
        <v>74</v>
      </c>
      <c r="BE162" s="25"/>
      <c r="BF162" s="24">
        <f>16805</f>
        <v>16805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16805</f>
        <v>16805</v>
      </c>
      <c r="BR162" s="24"/>
      <c r="BS162" s="24"/>
      <c r="BT162" s="27" t="s">
        <v>74</v>
      </c>
    </row>
    <row r="163" spans="1:72" s="1" customFormat="1" ht="24" customHeight="1">
      <c r="A163" s="16" t="s">
        <v>318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191</v>
      </c>
      <c r="N163" s="23"/>
      <c r="O163" s="23"/>
      <c r="P163" s="31" t="s">
        <v>319</v>
      </c>
      <c r="Q163" s="31"/>
      <c r="R163" s="31"/>
      <c r="S163" s="31"/>
      <c r="T163" s="31"/>
      <c r="U163" s="24">
        <f>30000</f>
        <v>30000</v>
      </c>
      <c r="V163" s="24"/>
      <c r="W163" s="24"/>
      <c r="X163" s="25" t="s">
        <v>74</v>
      </c>
      <c r="Y163" s="25"/>
      <c r="Z163" s="25"/>
      <c r="AA163" s="25"/>
      <c r="AB163" s="24">
        <f>30000</f>
        <v>30000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30000</f>
        <v>30000</v>
      </c>
      <c r="AX163" s="24"/>
      <c r="AY163" s="25" t="s">
        <v>74</v>
      </c>
      <c r="AZ163" s="25"/>
      <c r="BA163" s="24">
        <f>5000</f>
        <v>5000</v>
      </c>
      <c r="BB163" s="24"/>
      <c r="BC163" s="24"/>
      <c r="BD163" s="25" t="s">
        <v>74</v>
      </c>
      <c r="BE163" s="25"/>
      <c r="BF163" s="24">
        <f>5000</f>
        <v>5000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5000</f>
        <v>5000</v>
      </c>
      <c r="BR163" s="24"/>
      <c r="BS163" s="24"/>
      <c r="BT163" s="27" t="s">
        <v>74</v>
      </c>
    </row>
    <row r="164" spans="1:72" s="1" customFormat="1" ht="24" customHeight="1">
      <c r="A164" s="16" t="s">
        <v>210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191</v>
      </c>
      <c r="N164" s="23"/>
      <c r="O164" s="23"/>
      <c r="P164" s="31" t="s">
        <v>320</v>
      </c>
      <c r="Q164" s="31"/>
      <c r="R164" s="31"/>
      <c r="S164" s="31"/>
      <c r="T164" s="31"/>
      <c r="U164" s="24">
        <f>30000</f>
        <v>30000</v>
      </c>
      <c r="V164" s="24"/>
      <c r="W164" s="24"/>
      <c r="X164" s="25" t="s">
        <v>74</v>
      </c>
      <c r="Y164" s="25"/>
      <c r="Z164" s="25"/>
      <c r="AA164" s="25"/>
      <c r="AB164" s="24">
        <f>30000</f>
        <v>30000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30000</f>
        <v>30000</v>
      </c>
      <c r="AX164" s="24"/>
      <c r="AY164" s="25" t="s">
        <v>74</v>
      </c>
      <c r="AZ164" s="25"/>
      <c r="BA164" s="24">
        <f>5000</f>
        <v>5000</v>
      </c>
      <c r="BB164" s="24"/>
      <c r="BC164" s="24"/>
      <c r="BD164" s="25" t="s">
        <v>74</v>
      </c>
      <c r="BE164" s="25"/>
      <c r="BF164" s="24">
        <f>5000</f>
        <v>5000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5000</f>
        <v>5000</v>
      </c>
      <c r="BR164" s="24"/>
      <c r="BS164" s="24"/>
      <c r="BT164" s="27" t="s">
        <v>74</v>
      </c>
    </row>
    <row r="165" spans="1:72" s="1" customFormat="1" ht="24" customHeight="1">
      <c r="A165" s="16" t="s">
        <v>212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191</v>
      </c>
      <c r="N165" s="23"/>
      <c r="O165" s="23"/>
      <c r="P165" s="31" t="s">
        <v>321</v>
      </c>
      <c r="Q165" s="31"/>
      <c r="R165" s="31"/>
      <c r="S165" s="31"/>
      <c r="T165" s="31"/>
      <c r="U165" s="24">
        <f>30000</f>
        <v>30000</v>
      </c>
      <c r="V165" s="24"/>
      <c r="W165" s="24"/>
      <c r="X165" s="25" t="s">
        <v>74</v>
      </c>
      <c r="Y165" s="25"/>
      <c r="Z165" s="25"/>
      <c r="AA165" s="25"/>
      <c r="AB165" s="24">
        <f>30000</f>
        <v>30000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30000</f>
        <v>30000</v>
      </c>
      <c r="AX165" s="24"/>
      <c r="AY165" s="25" t="s">
        <v>74</v>
      </c>
      <c r="AZ165" s="25"/>
      <c r="BA165" s="24">
        <f>5000</f>
        <v>5000</v>
      </c>
      <c r="BB165" s="24"/>
      <c r="BC165" s="24"/>
      <c r="BD165" s="25" t="s">
        <v>74</v>
      </c>
      <c r="BE165" s="25"/>
      <c r="BF165" s="24">
        <f>5000</f>
        <v>5000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5000</f>
        <v>5000</v>
      </c>
      <c r="BR165" s="24"/>
      <c r="BS165" s="24"/>
      <c r="BT165" s="27" t="s">
        <v>74</v>
      </c>
    </row>
    <row r="166" spans="1:72" s="1" customFormat="1" ht="13.5" customHeight="1">
      <c r="A166" s="16" t="s">
        <v>214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191</v>
      </c>
      <c r="N166" s="23"/>
      <c r="O166" s="23"/>
      <c r="P166" s="31" t="s">
        <v>322</v>
      </c>
      <c r="Q166" s="31"/>
      <c r="R166" s="31"/>
      <c r="S166" s="31"/>
      <c r="T166" s="31"/>
      <c r="U166" s="24">
        <f>30000</f>
        <v>30000</v>
      </c>
      <c r="V166" s="24"/>
      <c r="W166" s="24"/>
      <c r="X166" s="25" t="s">
        <v>74</v>
      </c>
      <c r="Y166" s="25"/>
      <c r="Z166" s="25"/>
      <c r="AA166" s="25"/>
      <c r="AB166" s="24">
        <f>30000</f>
        <v>30000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30000</f>
        <v>30000</v>
      </c>
      <c r="AX166" s="24"/>
      <c r="AY166" s="25" t="s">
        <v>74</v>
      </c>
      <c r="AZ166" s="25"/>
      <c r="BA166" s="24">
        <f>5000</f>
        <v>5000</v>
      </c>
      <c r="BB166" s="24"/>
      <c r="BC166" s="24"/>
      <c r="BD166" s="25" t="s">
        <v>74</v>
      </c>
      <c r="BE166" s="25"/>
      <c r="BF166" s="24">
        <f>5000</f>
        <v>5000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5000</f>
        <v>5000</v>
      </c>
      <c r="BR166" s="24"/>
      <c r="BS166" s="24"/>
      <c r="BT166" s="27" t="s">
        <v>74</v>
      </c>
    </row>
    <row r="167" spans="1:72" s="1" customFormat="1" ht="13.5" customHeight="1">
      <c r="A167" s="16" t="s">
        <v>323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191</v>
      </c>
      <c r="N167" s="23"/>
      <c r="O167" s="23"/>
      <c r="P167" s="31" t="s">
        <v>324</v>
      </c>
      <c r="Q167" s="31"/>
      <c r="R167" s="31"/>
      <c r="S167" s="31"/>
      <c r="T167" s="31"/>
      <c r="U167" s="24">
        <f>125500</f>
        <v>125500</v>
      </c>
      <c r="V167" s="24"/>
      <c r="W167" s="24"/>
      <c r="X167" s="25" t="s">
        <v>74</v>
      </c>
      <c r="Y167" s="25"/>
      <c r="Z167" s="25"/>
      <c r="AA167" s="25"/>
      <c r="AB167" s="24">
        <f>125500</f>
        <v>125500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125500</f>
        <v>125500</v>
      </c>
      <c r="AX167" s="24"/>
      <c r="AY167" s="25" t="s">
        <v>74</v>
      </c>
      <c r="AZ167" s="25"/>
      <c r="BA167" s="24">
        <f>11805</f>
        <v>11805</v>
      </c>
      <c r="BB167" s="24"/>
      <c r="BC167" s="24"/>
      <c r="BD167" s="25" t="s">
        <v>74</v>
      </c>
      <c r="BE167" s="25"/>
      <c r="BF167" s="24">
        <f>11805</f>
        <v>11805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11805</f>
        <v>11805</v>
      </c>
      <c r="BR167" s="24"/>
      <c r="BS167" s="24"/>
      <c r="BT167" s="27" t="s">
        <v>74</v>
      </c>
    </row>
    <row r="168" spans="1:72" s="1" customFormat="1" ht="24" customHeight="1">
      <c r="A168" s="16" t="s">
        <v>210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191</v>
      </c>
      <c r="N168" s="23"/>
      <c r="O168" s="23"/>
      <c r="P168" s="31" t="s">
        <v>325</v>
      </c>
      <c r="Q168" s="31"/>
      <c r="R168" s="31"/>
      <c r="S168" s="31"/>
      <c r="T168" s="31"/>
      <c r="U168" s="24">
        <f>125500</f>
        <v>125500</v>
      </c>
      <c r="V168" s="24"/>
      <c r="W168" s="24"/>
      <c r="X168" s="25" t="s">
        <v>74</v>
      </c>
      <c r="Y168" s="25"/>
      <c r="Z168" s="25"/>
      <c r="AA168" s="25"/>
      <c r="AB168" s="24">
        <f>125500</f>
        <v>125500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125500</f>
        <v>125500</v>
      </c>
      <c r="AX168" s="24"/>
      <c r="AY168" s="25" t="s">
        <v>74</v>
      </c>
      <c r="AZ168" s="25"/>
      <c r="BA168" s="24">
        <f>11805</f>
        <v>11805</v>
      </c>
      <c r="BB168" s="24"/>
      <c r="BC168" s="24"/>
      <c r="BD168" s="25" t="s">
        <v>74</v>
      </c>
      <c r="BE168" s="25"/>
      <c r="BF168" s="24">
        <f>11805</f>
        <v>11805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11805</f>
        <v>11805</v>
      </c>
      <c r="BR168" s="24"/>
      <c r="BS168" s="24"/>
      <c r="BT168" s="27" t="s">
        <v>74</v>
      </c>
    </row>
    <row r="169" spans="1:72" s="1" customFormat="1" ht="24" customHeight="1">
      <c r="A169" s="16" t="s">
        <v>212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191</v>
      </c>
      <c r="N169" s="23"/>
      <c r="O169" s="23"/>
      <c r="P169" s="31" t="s">
        <v>326</v>
      </c>
      <c r="Q169" s="31"/>
      <c r="R169" s="31"/>
      <c r="S169" s="31"/>
      <c r="T169" s="31"/>
      <c r="U169" s="24">
        <f>125500</f>
        <v>125500</v>
      </c>
      <c r="V169" s="24"/>
      <c r="W169" s="24"/>
      <c r="X169" s="25" t="s">
        <v>74</v>
      </c>
      <c r="Y169" s="25"/>
      <c r="Z169" s="25"/>
      <c r="AA169" s="25"/>
      <c r="AB169" s="24">
        <f>125500</f>
        <v>125500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125500</f>
        <v>125500</v>
      </c>
      <c r="AX169" s="24"/>
      <c r="AY169" s="25" t="s">
        <v>74</v>
      </c>
      <c r="AZ169" s="25"/>
      <c r="BA169" s="24">
        <f>11805</f>
        <v>11805</v>
      </c>
      <c r="BB169" s="24"/>
      <c r="BC169" s="24"/>
      <c r="BD169" s="25" t="s">
        <v>74</v>
      </c>
      <c r="BE169" s="25"/>
      <c r="BF169" s="24">
        <f>11805</f>
        <v>11805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11805</f>
        <v>11805</v>
      </c>
      <c r="BR169" s="24"/>
      <c r="BS169" s="24"/>
      <c r="BT169" s="27" t="s">
        <v>74</v>
      </c>
    </row>
    <row r="170" spans="1:72" s="1" customFormat="1" ht="13.5" customHeight="1">
      <c r="A170" s="16" t="s">
        <v>214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191</v>
      </c>
      <c r="N170" s="23"/>
      <c r="O170" s="23"/>
      <c r="P170" s="31" t="s">
        <v>327</v>
      </c>
      <c r="Q170" s="31"/>
      <c r="R170" s="31"/>
      <c r="S170" s="31"/>
      <c r="T170" s="31"/>
      <c r="U170" s="24">
        <f>125500</f>
        <v>125500</v>
      </c>
      <c r="V170" s="24"/>
      <c r="W170" s="24"/>
      <c r="X170" s="25" t="s">
        <v>74</v>
      </c>
      <c r="Y170" s="25"/>
      <c r="Z170" s="25"/>
      <c r="AA170" s="25"/>
      <c r="AB170" s="24">
        <f>125500</f>
        <v>125500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125500</f>
        <v>125500</v>
      </c>
      <c r="AX170" s="24"/>
      <c r="AY170" s="25" t="s">
        <v>74</v>
      </c>
      <c r="AZ170" s="25"/>
      <c r="BA170" s="24">
        <f>11805</f>
        <v>11805</v>
      </c>
      <c r="BB170" s="24"/>
      <c r="BC170" s="24"/>
      <c r="BD170" s="25" t="s">
        <v>74</v>
      </c>
      <c r="BE170" s="25"/>
      <c r="BF170" s="24">
        <f>11805</f>
        <v>11805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11805</f>
        <v>11805</v>
      </c>
      <c r="BR170" s="24"/>
      <c r="BS170" s="24"/>
      <c r="BT170" s="27" t="s">
        <v>74</v>
      </c>
    </row>
    <row r="171" spans="1:72" s="1" customFormat="1" ht="13.5" customHeight="1">
      <c r="A171" s="16" t="s">
        <v>328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191</v>
      </c>
      <c r="N171" s="23"/>
      <c r="O171" s="23"/>
      <c r="P171" s="31" t="s">
        <v>329</v>
      </c>
      <c r="Q171" s="31"/>
      <c r="R171" s="31"/>
      <c r="S171" s="31"/>
      <c r="T171" s="31"/>
      <c r="U171" s="24">
        <f>100000</f>
        <v>100000</v>
      </c>
      <c r="V171" s="24"/>
      <c r="W171" s="24"/>
      <c r="X171" s="25" t="s">
        <v>74</v>
      </c>
      <c r="Y171" s="25"/>
      <c r="Z171" s="25"/>
      <c r="AA171" s="25"/>
      <c r="AB171" s="24">
        <f>100000</f>
        <v>100000</v>
      </c>
      <c r="AC171" s="24"/>
      <c r="AD171" s="24"/>
      <c r="AE171" s="28">
        <f>49402</f>
        <v>49402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149402</f>
        <v>149402</v>
      </c>
      <c r="AX171" s="24"/>
      <c r="AY171" s="25" t="s">
        <v>74</v>
      </c>
      <c r="AZ171" s="25"/>
      <c r="BA171" s="25" t="s">
        <v>74</v>
      </c>
      <c r="BB171" s="25"/>
      <c r="BC171" s="25"/>
      <c r="BD171" s="25" t="s">
        <v>74</v>
      </c>
      <c r="BE171" s="25"/>
      <c r="BF171" s="25" t="s">
        <v>74</v>
      </c>
      <c r="BG171" s="25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5" t="s">
        <v>74</v>
      </c>
      <c r="BR171" s="25"/>
      <c r="BS171" s="25"/>
      <c r="BT171" s="27" t="s">
        <v>74</v>
      </c>
    </row>
    <row r="172" spans="1:72" s="1" customFormat="1" ht="13.5" customHeight="1">
      <c r="A172" s="16" t="s">
        <v>330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191</v>
      </c>
      <c r="N172" s="23"/>
      <c r="O172" s="23"/>
      <c r="P172" s="31" t="s">
        <v>331</v>
      </c>
      <c r="Q172" s="31"/>
      <c r="R172" s="31"/>
      <c r="S172" s="31"/>
      <c r="T172" s="31"/>
      <c r="U172" s="24">
        <f>100000</f>
        <v>100000</v>
      </c>
      <c r="V172" s="24"/>
      <c r="W172" s="24"/>
      <c r="X172" s="25" t="s">
        <v>74</v>
      </c>
      <c r="Y172" s="25"/>
      <c r="Z172" s="25"/>
      <c r="AA172" s="25"/>
      <c r="AB172" s="24">
        <f>100000</f>
        <v>100000</v>
      </c>
      <c r="AC172" s="24"/>
      <c r="AD172" s="24"/>
      <c r="AE172" s="28">
        <f>49402</f>
        <v>49402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149402</f>
        <v>149402</v>
      </c>
      <c r="AX172" s="24"/>
      <c r="AY172" s="25" t="s">
        <v>74</v>
      </c>
      <c r="AZ172" s="25"/>
      <c r="BA172" s="25" t="s">
        <v>74</v>
      </c>
      <c r="BB172" s="25"/>
      <c r="BC172" s="25"/>
      <c r="BD172" s="25" t="s">
        <v>74</v>
      </c>
      <c r="BE172" s="25"/>
      <c r="BF172" s="25" t="s">
        <v>74</v>
      </c>
      <c r="BG172" s="25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5" t="s">
        <v>74</v>
      </c>
      <c r="BR172" s="25"/>
      <c r="BS172" s="25"/>
      <c r="BT172" s="27" t="s">
        <v>74</v>
      </c>
    </row>
    <row r="173" spans="1:72" s="1" customFormat="1" ht="24" customHeight="1">
      <c r="A173" s="16" t="s">
        <v>210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191</v>
      </c>
      <c r="N173" s="23"/>
      <c r="O173" s="23"/>
      <c r="P173" s="31" t="s">
        <v>332</v>
      </c>
      <c r="Q173" s="31"/>
      <c r="R173" s="31"/>
      <c r="S173" s="31"/>
      <c r="T173" s="31"/>
      <c r="U173" s="24">
        <f>100000</f>
        <v>100000</v>
      </c>
      <c r="V173" s="24"/>
      <c r="W173" s="24"/>
      <c r="X173" s="25" t="s">
        <v>74</v>
      </c>
      <c r="Y173" s="25"/>
      <c r="Z173" s="25"/>
      <c r="AA173" s="25"/>
      <c r="AB173" s="24">
        <f>100000</f>
        <v>100000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100000</f>
        <v>100000</v>
      </c>
      <c r="AX173" s="24"/>
      <c r="AY173" s="25" t="s">
        <v>74</v>
      </c>
      <c r="AZ173" s="25"/>
      <c r="BA173" s="25" t="s">
        <v>74</v>
      </c>
      <c r="BB173" s="25"/>
      <c r="BC173" s="25"/>
      <c r="BD173" s="25" t="s">
        <v>74</v>
      </c>
      <c r="BE173" s="25"/>
      <c r="BF173" s="25" t="s">
        <v>74</v>
      </c>
      <c r="BG173" s="25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5" t="s">
        <v>74</v>
      </c>
      <c r="BR173" s="25"/>
      <c r="BS173" s="25"/>
      <c r="BT173" s="27" t="s">
        <v>74</v>
      </c>
    </row>
    <row r="174" spans="1:72" s="1" customFormat="1" ht="24" customHeight="1">
      <c r="A174" s="16" t="s">
        <v>212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191</v>
      </c>
      <c r="N174" s="23"/>
      <c r="O174" s="23"/>
      <c r="P174" s="31" t="s">
        <v>333</v>
      </c>
      <c r="Q174" s="31"/>
      <c r="R174" s="31"/>
      <c r="S174" s="31"/>
      <c r="T174" s="31"/>
      <c r="U174" s="24">
        <f>100000</f>
        <v>100000</v>
      </c>
      <c r="V174" s="24"/>
      <c r="W174" s="24"/>
      <c r="X174" s="25" t="s">
        <v>74</v>
      </c>
      <c r="Y174" s="25"/>
      <c r="Z174" s="25"/>
      <c r="AA174" s="25"/>
      <c r="AB174" s="24">
        <f>100000</f>
        <v>100000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100000</f>
        <v>100000</v>
      </c>
      <c r="AX174" s="24"/>
      <c r="AY174" s="25" t="s">
        <v>74</v>
      </c>
      <c r="AZ174" s="25"/>
      <c r="BA174" s="25" t="s">
        <v>74</v>
      </c>
      <c r="BB174" s="25"/>
      <c r="BC174" s="25"/>
      <c r="BD174" s="25" t="s">
        <v>74</v>
      </c>
      <c r="BE174" s="25"/>
      <c r="BF174" s="25" t="s">
        <v>74</v>
      </c>
      <c r="BG174" s="25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5" t="s">
        <v>74</v>
      </c>
      <c r="BR174" s="25"/>
      <c r="BS174" s="25"/>
      <c r="BT174" s="27" t="s">
        <v>74</v>
      </c>
    </row>
    <row r="175" spans="1:72" s="1" customFormat="1" ht="13.5" customHeight="1">
      <c r="A175" s="16" t="s">
        <v>214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191</v>
      </c>
      <c r="N175" s="23"/>
      <c r="O175" s="23"/>
      <c r="P175" s="31" t="s">
        <v>334</v>
      </c>
      <c r="Q175" s="31"/>
      <c r="R175" s="31"/>
      <c r="S175" s="31"/>
      <c r="T175" s="31"/>
      <c r="U175" s="24">
        <f>100000</f>
        <v>100000</v>
      </c>
      <c r="V175" s="24"/>
      <c r="W175" s="24"/>
      <c r="X175" s="25" t="s">
        <v>74</v>
      </c>
      <c r="Y175" s="25"/>
      <c r="Z175" s="25"/>
      <c r="AA175" s="25"/>
      <c r="AB175" s="24">
        <f>100000</f>
        <v>100000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100000</f>
        <v>100000</v>
      </c>
      <c r="AX175" s="24"/>
      <c r="AY175" s="25" t="s">
        <v>74</v>
      </c>
      <c r="AZ175" s="25"/>
      <c r="BA175" s="25" t="s">
        <v>74</v>
      </c>
      <c r="BB175" s="25"/>
      <c r="BC175" s="25"/>
      <c r="BD175" s="25" t="s">
        <v>74</v>
      </c>
      <c r="BE175" s="25"/>
      <c r="BF175" s="25" t="s">
        <v>74</v>
      </c>
      <c r="BG175" s="25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5" t="s">
        <v>74</v>
      </c>
      <c r="BR175" s="25"/>
      <c r="BS175" s="25"/>
      <c r="BT175" s="27" t="s">
        <v>74</v>
      </c>
    </row>
    <row r="176" spans="1:72" s="1" customFormat="1" ht="13.5" customHeight="1">
      <c r="A176" s="16" t="s">
        <v>228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191</v>
      </c>
      <c r="N176" s="23"/>
      <c r="O176" s="23"/>
      <c r="P176" s="31" t="s">
        <v>335</v>
      </c>
      <c r="Q176" s="31"/>
      <c r="R176" s="31"/>
      <c r="S176" s="31"/>
      <c r="T176" s="31"/>
      <c r="U176" s="24">
        <f>0</f>
        <v>0</v>
      </c>
      <c r="V176" s="24"/>
      <c r="W176" s="24"/>
      <c r="X176" s="25" t="s">
        <v>74</v>
      </c>
      <c r="Y176" s="25"/>
      <c r="Z176" s="25"/>
      <c r="AA176" s="25"/>
      <c r="AB176" s="24">
        <f>0</f>
        <v>0</v>
      </c>
      <c r="AC176" s="24"/>
      <c r="AD176" s="24"/>
      <c r="AE176" s="28">
        <f>49402</f>
        <v>49402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49402</f>
        <v>49402</v>
      </c>
      <c r="AX176" s="24"/>
      <c r="AY176" s="25" t="s">
        <v>74</v>
      </c>
      <c r="AZ176" s="25"/>
      <c r="BA176" s="25" t="s">
        <v>74</v>
      </c>
      <c r="BB176" s="25"/>
      <c r="BC176" s="25"/>
      <c r="BD176" s="25" t="s">
        <v>74</v>
      </c>
      <c r="BE176" s="25"/>
      <c r="BF176" s="25" t="s">
        <v>74</v>
      </c>
      <c r="BG176" s="25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5" t="s">
        <v>74</v>
      </c>
      <c r="BR176" s="25"/>
      <c r="BS176" s="25"/>
      <c r="BT176" s="27" t="s">
        <v>74</v>
      </c>
    </row>
    <row r="177" spans="1:72" s="1" customFormat="1" ht="13.5" customHeight="1">
      <c r="A177" s="16" t="s">
        <v>178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191</v>
      </c>
      <c r="N177" s="23"/>
      <c r="O177" s="23"/>
      <c r="P177" s="31" t="s">
        <v>336</v>
      </c>
      <c r="Q177" s="31"/>
      <c r="R177" s="31"/>
      <c r="S177" s="31"/>
      <c r="T177" s="31"/>
      <c r="U177" s="24">
        <f>0</f>
        <v>0</v>
      </c>
      <c r="V177" s="24"/>
      <c r="W177" s="24"/>
      <c r="X177" s="25" t="s">
        <v>74</v>
      </c>
      <c r="Y177" s="25"/>
      <c r="Z177" s="25"/>
      <c r="AA177" s="25"/>
      <c r="AB177" s="24">
        <f>0</f>
        <v>0</v>
      </c>
      <c r="AC177" s="24"/>
      <c r="AD177" s="24"/>
      <c r="AE177" s="28">
        <f>49402</f>
        <v>49402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49402</f>
        <v>49402</v>
      </c>
      <c r="AX177" s="24"/>
      <c r="AY177" s="25" t="s">
        <v>74</v>
      </c>
      <c r="AZ177" s="25"/>
      <c r="BA177" s="25" t="s">
        <v>74</v>
      </c>
      <c r="BB177" s="25"/>
      <c r="BC177" s="25"/>
      <c r="BD177" s="25" t="s">
        <v>74</v>
      </c>
      <c r="BE177" s="25"/>
      <c r="BF177" s="25" t="s">
        <v>74</v>
      </c>
      <c r="BG177" s="25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5" t="s">
        <v>74</v>
      </c>
      <c r="BR177" s="25"/>
      <c r="BS177" s="25"/>
      <c r="BT177" s="27" t="s">
        <v>74</v>
      </c>
    </row>
    <row r="178" spans="1:72" s="1" customFormat="1" ht="13.5" customHeight="1">
      <c r="A178" s="16" t="s">
        <v>337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191</v>
      </c>
      <c r="N178" s="23"/>
      <c r="O178" s="23"/>
      <c r="P178" s="31" t="s">
        <v>338</v>
      </c>
      <c r="Q178" s="31"/>
      <c r="R178" s="31"/>
      <c r="S178" s="31"/>
      <c r="T178" s="31"/>
      <c r="U178" s="24">
        <f>1567194</f>
        <v>1567194</v>
      </c>
      <c r="V178" s="24"/>
      <c r="W178" s="24"/>
      <c r="X178" s="25" t="s">
        <v>74</v>
      </c>
      <c r="Y178" s="25"/>
      <c r="Z178" s="25"/>
      <c r="AA178" s="25"/>
      <c r="AB178" s="24">
        <f>1567194</f>
        <v>1567194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1567194</f>
        <v>1567194</v>
      </c>
      <c r="AX178" s="24"/>
      <c r="AY178" s="25" t="s">
        <v>74</v>
      </c>
      <c r="AZ178" s="25"/>
      <c r="BA178" s="24">
        <f>1260421.72</f>
        <v>1260421.72</v>
      </c>
      <c r="BB178" s="24"/>
      <c r="BC178" s="24"/>
      <c r="BD178" s="25" t="s">
        <v>74</v>
      </c>
      <c r="BE178" s="25"/>
      <c r="BF178" s="24">
        <f>1260421.72</f>
        <v>1260421.72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1260421.72</f>
        <v>1260421.72</v>
      </c>
      <c r="BR178" s="24"/>
      <c r="BS178" s="24"/>
      <c r="BT178" s="27" t="s">
        <v>74</v>
      </c>
    </row>
    <row r="179" spans="1:72" s="1" customFormat="1" ht="13.5" customHeight="1">
      <c r="A179" s="16" t="s">
        <v>339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191</v>
      </c>
      <c r="N179" s="23"/>
      <c r="O179" s="23"/>
      <c r="P179" s="31" t="s">
        <v>340</v>
      </c>
      <c r="Q179" s="31"/>
      <c r="R179" s="31"/>
      <c r="S179" s="31"/>
      <c r="T179" s="31"/>
      <c r="U179" s="24">
        <f>226631</f>
        <v>226631</v>
      </c>
      <c r="V179" s="24"/>
      <c r="W179" s="24"/>
      <c r="X179" s="25" t="s">
        <v>74</v>
      </c>
      <c r="Y179" s="25"/>
      <c r="Z179" s="25"/>
      <c r="AA179" s="25"/>
      <c r="AB179" s="24">
        <f>226631</f>
        <v>226631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226631</f>
        <v>226631</v>
      </c>
      <c r="AX179" s="24"/>
      <c r="AY179" s="25" t="s">
        <v>74</v>
      </c>
      <c r="AZ179" s="25"/>
      <c r="BA179" s="24">
        <f>37771.76</f>
        <v>37771.76</v>
      </c>
      <c r="BB179" s="24"/>
      <c r="BC179" s="24"/>
      <c r="BD179" s="25" t="s">
        <v>74</v>
      </c>
      <c r="BE179" s="25"/>
      <c r="BF179" s="24">
        <f>37771.76</f>
        <v>37771.76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37771.76</f>
        <v>37771.76</v>
      </c>
      <c r="BR179" s="24"/>
      <c r="BS179" s="24"/>
      <c r="BT179" s="27" t="s">
        <v>74</v>
      </c>
    </row>
    <row r="180" spans="1:72" s="1" customFormat="1" ht="13.5" customHeight="1">
      <c r="A180" s="16" t="s">
        <v>254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191</v>
      </c>
      <c r="N180" s="23"/>
      <c r="O180" s="23"/>
      <c r="P180" s="31" t="s">
        <v>341</v>
      </c>
      <c r="Q180" s="31"/>
      <c r="R180" s="31"/>
      <c r="S180" s="31"/>
      <c r="T180" s="31"/>
      <c r="U180" s="24">
        <f>226631</f>
        <v>226631</v>
      </c>
      <c r="V180" s="24"/>
      <c r="W180" s="24"/>
      <c r="X180" s="25" t="s">
        <v>74</v>
      </c>
      <c r="Y180" s="25"/>
      <c r="Z180" s="25"/>
      <c r="AA180" s="25"/>
      <c r="AB180" s="24">
        <f>226631</f>
        <v>226631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226631</f>
        <v>226631</v>
      </c>
      <c r="AX180" s="24"/>
      <c r="AY180" s="25" t="s">
        <v>74</v>
      </c>
      <c r="AZ180" s="25"/>
      <c r="BA180" s="24">
        <f>37771.76</f>
        <v>37771.76</v>
      </c>
      <c r="BB180" s="24"/>
      <c r="BC180" s="24"/>
      <c r="BD180" s="25" t="s">
        <v>74</v>
      </c>
      <c r="BE180" s="25"/>
      <c r="BF180" s="24">
        <f>37771.76</f>
        <v>37771.76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37771.76</f>
        <v>37771.76</v>
      </c>
      <c r="BR180" s="24"/>
      <c r="BS180" s="24"/>
      <c r="BT180" s="27" t="s">
        <v>74</v>
      </c>
    </row>
    <row r="181" spans="1:72" s="1" customFormat="1" ht="24" customHeight="1">
      <c r="A181" s="16" t="s">
        <v>342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191</v>
      </c>
      <c r="N181" s="23"/>
      <c r="O181" s="23"/>
      <c r="P181" s="31" t="s">
        <v>343</v>
      </c>
      <c r="Q181" s="31"/>
      <c r="R181" s="31"/>
      <c r="S181" s="31"/>
      <c r="T181" s="31"/>
      <c r="U181" s="24">
        <f>226631</f>
        <v>226631</v>
      </c>
      <c r="V181" s="24"/>
      <c r="W181" s="24"/>
      <c r="X181" s="25" t="s">
        <v>74</v>
      </c>
      <c r="Y181" s="25"/>
      <c r="Z181" s="25"/>
      <c r="AA181" s="25"/>
      <c r="AB181" s="24">
        <f>226631</f>
        <v>226631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226631</f>
        <v>226631</v>
      </c>
      <c r="AX181" s="24"/>
      <c r="AY181" s="25" t="s">
        <v>74</v>
      </c>
      <c r="AZ181" s="25"/>
      <c r="BA181" s="24">
        <f>37771.76</f>
        <v>37771.76</v>
      </c>
      <c r="BB181" s="24"/>
      <c r="BC181" s="24"/>
      <c r="BD181" s="25" t="s">
        <v>74</v>
      </c>
      <c r="BE181" s="25"/>
      <c r="BF181" s="24">
        <f>37771.76</f>
        <v>37771.76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37771.76</f>
        <v>37771.76</v>
      </c>
      <c r="BR181" s="24"/>
      <c r="BS181" s="24"/>
      <c r="BT181" s="27" t="s">
        <v>74</v>
      </c>
    </row>
    <row r="182" spans="1:72" s="1" customFormat="1" ht="13.5" customHeight="1">
      <c r="A182" s="16" t="s">
        <v>344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191</v>
      </c>
      <c r="N182" s="23"/>
      <c r="O182" s="23"/>
      <c r="P182" s="31" t="s">
        <v>345</v>
      </c>
      <c r="Q182" s="31"/>
      <c r="R182" s="31"/>
      <c r="S182" s="31"/>
      <c r="T182" s="31"/>
      <c r="U182" s="24">
        <f>226631</f>
        <v>226631</v>
      </c>
      <c r="V182" s="24"/>
      <c r="W182" s="24"/>
      <c r="X182" s="25" t="s">
        <v>74</v>
      </c>
      <c r="Y182" s="25"/>
      <c r="Z182" s="25"/>
      <c r="AA182" s="25"/>
      <c r="AB182" s="24">
        <f>226631</f>
        <v>226631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226631</f>
        <v>226631</v>
      </c>
      <c r="AX182" s="24"/>
      <c r="AY182" s="25" t="s">
        <v>74</v>
      </c>
      <c r="AZ182" s="25"/>
      <c r="BA182" s="24">
        <f>37771.76</f>
        <v>37771.76</v>
      </c>
      <c r="BB182" s="24"/>
      <c r="BC182" s="24"/>
      <c r="BD182" s="25" t="s">
        <v>74</v>
      </c>
      <c r="BE182" s="25"/>
      <c r="BF182" s="24">
        <f>37771.76</f>
        <v>37771.76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37771.76</f>
        <v>37771.76</v>
      </c>
      <c r="BR182" s="24"/>
      <c r="BS182" s="24"/>
      <c r="BT182" s="27" t="s">
        <v>74</v>
      </c>
    </row>
    <row r="183" spans="1:72" s="1" customFormat="1" ht="13.5" customHeight="1">
      <c r="A183" s="16" t="s">
        <v>346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191</v>
      </c>
      <c r="N183" s="23"/>
      <c r="O183" s="23"/>
      <c r="P183" s="31" t="s">
        <v>347</v>
      </c>
      <c r="Q183" s="31"/>
      <c r="R183" s="31"/>
      <c r="S183" s="31"/>
      <c r="T183" s="31"/>
      <c r="U183" s="24">
        <f>1340563</f>
        <v>1340563</v>
      </c>
      <c r="V183" s="24"/>
      <c r="W183" s="24"/>
      <c r="X183" s="25" t="s">
        <v>74</v>
      </c>
      <c r="Y183" s="25"/>
      <c r="Z183" s="25"/>
      <c r="AA183" s="25"/>
      <c r="AB183" s="24">
        <f>1340563</f>
        <v>1340563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1340563</f>
        <v>1340563</v>
      </c>
      <c r="AX183" s="24"/>
      <c r="AY183" s="25" t="s">
        <v>74</v>
      </c>
      <c r="AZ183" s="25"/>
      <c r="BA183" s="24">
        <f>1222649.96</f>
        <v>1222649.96</v>
      </c>
      <c r="BB183" s="24"/>
      <c r="BC183" s="24"/>
      <c r="BD183" s="25" t="s">
        <v>74</v>
      </c>
      <c r="BE183" s="25"/>
      <c r="BF183" s="24">
        <f>1222649.96</f>
        <v>1222649.96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1222649.96</f>
        <v>1222649.96</v>
      </c>
      <c r="BR183" s="24"/>
      <c r="BS183" s="24"/>
      <c r="BT183" s="27" t="s">
        <v>74</v>
      </c>
    </row>
    <row r="184" spans="1:72" s="1" customFormat="1" ht="13.5" customHeight="1">
      <c r="A184" s="16" t="s">
        <v>254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191</v>
      </c>
      <c r="N184" s="23"/>
      <c r="O184" s="23"/>
      <c r="P184" s="31" t="s">
        <v>348</v>
      </c>
      <c r="Q184" s="31"/>
      <c r="R184" s="31"/>
      <c r="S184" s="31"/>
      <c r="T184" s="31"/>
      <c r="U184" s="24">
        <f>1340563</f>
        <v>1340563</v>
      </c>
      <c r="V184" s="24"/>
      <c r="W184" s="24"/>
      <c r="X184" s="25" t="s">
        <v>74</v>
      </c>
      <c r="Y184" s="25"/>
      <c r="Z184" s="25"/>
      <c r="AA184" s="25"/>
      <c r="AB184" s="24">
        <f>1340563</f>
        <v>1340563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1340563</f>
        <v>1340563</v>
      </c>
      <c r="AX184" s="24"/>
      <c r="AY184" s="25" t="s">
        <v>74</v>
      </c>
      <c r="AZ184" s="25"/>
      <c r="BA184" s="24">
        <f>1222649.96</f>
        <v>1222649.96</v>
      </c>
      <c r="BB184" s="24"/>
      <c r="BC184" s="24"/>
      <c r="BD184" s="25" t="s">
        <v>74</v>
      </c>
      <c r="BE184" s="25"/>
      <c r="BF184" s="24">
        <f>1222649.96</f>
        <v>1222649.96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1222649.96</f>
        <v>1222649.96</v>
      </c>
      <c r="BR184" s="24"/>
      <c r="BS184" s="24"/>
      <c r="BT184" s="27" t="s">
        <v>74</v>
      </c>
    </row>
    <row r="185" spans="1:72" s="1" customFormat="1" ht="24" customHeight="1">
      <c r="A185" s="16" t="s">
        <v>256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191</v>
      </c>
      <c r="N185" s="23"/>
      <c r="O185" s="23"/>
      <c r="P185" s="31" t="s">
        <v>349</v>
      </c>
      <c r="Q185" s="31"/>
      <c r="R185" s="31"/>
      <c r="S185" s="31"/>
      <c r="T185" s="31"/>
      <c r="U185" s="24">
        <f>1340563</f>
        <v>1340563</v>
      </c>
      <c r="V185" s="24"/>
      <c r="W185" s="24"/>
      <c r="X185" s="25" t="s">
        <v>74</v>
      </c>
      <c r="Y185" s="25"/>
      <c r="Z185" s="25"/>
      <c r="AA185" s="25"/>
      <c r="AB185" s="24">
        <f>1340563</f>
        <v>1340563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1340563</f>
        <v>1340563</v>
      </c>
      <c r="AX185" s="24"/>
      <c r="AY185" s="25" t="s">
        <v>74</v>
      </c>
      <c r="AZ185" s="25"/>
      <c r="BA185" s="24">
        <f>1222649.96</f>
        <v>1222649.96</v>
      </c>
      <c r="BB185" s="24"/>
      <c r="BC185" s="24"/>
      <c r="BD185" s="25" t="s">
        <v>74</v>
      </c>
      <c r="BE185" s="25"/>
      <c r="BF185" s="24">
        <f>1222649.96</f>
        <v>1222649.96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1222649.96</f>
        <v>1222649.96</v>
      </c>
      <c r="BR185" s="24"/>
      <c r="BS185" s="24"/>
      <c r="BT185" s="27" t="s">
        <v>74</v>
      </c>
    </row>
    <row r="186" spans="1:72" s="1" customFormat="1" ht="13.5" customHeight="1">
      <c r="A186" s="16" t="s">
        <v>350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191</v>
      </c>
      <c r="N186" s="23"/>
      <c r="O186" s="23"/>
      <c r="P186" s="31" t="s">
        <v>351</v>
      </c>
      <c r="Q186" s="31"/>
      <c r="R186" s="31"/>
      <c r="S186" s="31"/>
      <c r="T186" s="31"/>
      <c r="U186" s="24">
        <f>1340563</f>
        <v>1340563</v>
      </c>
      <c r="V186" s="24"/>
      <c r="W186" s="24"/>
      <c r="X186" s="25" t="s">
        <v>74</v>
      </c>
      <c r="Y186" s="25"/>
      <c r="Z186" s="25"/>
      <c r="AA186" s="25"/>
      <c r="AB186" s="24">
        <f>1340563</f>
        <v>1340563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1340563</f>
        <v>1340563</v>
      </c>
      <c r="AX186" s="24"/>
      <c r="AY186" s="25" t="s">
        <v>74</v>
      </c>
      <c r="AZ186" s="25"/>
      <c r="BA186" s="24">
        <f>1222649.96</f>
        <v>1222649.96</v>
      </c>
      <c r="BB186" s="24"/>
      <c r="BC186" s="24"/>
      <c r="BD186" s="25" t="s">
        <v>74</v>
      </c>
      <c r="BE186" s="25"/>
      <c r="BF186" s="24">
        <f>1222649.96</f>
        <v>1222649.96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1222649.96</f>
        <v>1222649.96</v>
      </c>
      <c r="BR186" s="24"/>
      <c r="BS186" s="24"/>
      <c r="BT186" s="27" t="s">
        <v>74</v>
      </c>
    </row>
    <row r="187" spans="1:72" s="1" customFormat="1" ht="13.5" customHeight="1">
      <c r="A187" s="16" t="s">
        <v>352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191</v>
      </c>
      <c r="N187" s="23"/>
      <c r="O187" s="23"/>
      <c r="P187" s="31" t="s">
        <v>353</v>
      </c>
      <c r="Q187" s="31"/>
      <c r="R187" s="31"/>
      <c r="S187" s="31"/>
      <c r="T187" s="31"/>
      <c r="U187" s="24">
        <f>1008747</f>
        <v>1008747</v>
      </c>
      <c r="V187" s="24"/>
      <c r="W187" s="24"/>
      <c r="X187" s="25" t="s">
        <v>74</v>
      </c>
      <c r="Y187" s="25"/>
      <c r="Z187" s="25"/>
      <c r="AA187" s="25"/>
      <c r="AB187" s="24">
        <f>1008747</f>
        <v>1008747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1008747</f>
        <v>1008747</v>
      </c>
      <c r="AX187" s="24"/>
      <c r="AY187" s="25" t="s">
        <v>74</v>
      </c>
      <c r="AZ187" s="25"/>
      <c r="BA187" s="24">
        <f>139279.75</f>
        <v>139279.75</v>
      </c>
      <c r="BB187" s="24"/>
      <c r="BC187" s="24"/>
      <c r="BD187" s="25" t="s">
        <v>74</v>
      </c>
      <c r="BE187" s="25"/>
      <c r="BF187" s="24">
        <f>139279.75</f>
        <v>139279.75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139279.75</f>
        <v>139279.75</v>
      </c>
      <c r="BR187" s="24"/>
      <c r="BS187" s="24"/>
      <c r="BT187" s="27" t="s">
        <v>74</v>
      </c>
    </row>
    <row r="188" spans="1:72" s="1" customFormat="1" ht="13.5" customHeight="1">
      <c r="A188" s="16" t="s">
        <v>354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191</v>
      </c>
      <c r="N188" s="23"/>
      <c r="O188" s="23"/>
      <c r="P188" s="31" t="s">
        <v>355</v>
      </c>
      <c r="Q188" s="31"/>
      <c r="R188" s="31"/>
      <c r="S188" s="31"/>
      <c r="T188" s="31"/>
      <c r="U188" s="24">
        <f>858747</f>
        <v>858747</v>
      </c>
      <c r="V188" s="24"/>
      <c r="W188" s="24"/>
      <c r="X188" s="25" t="s">
        <v>74</v>
      </c>
      <c r="Y188" s="25"/>
      <c r="Z188" s="25"/>
      <c r="AA188" s="25"/>
      <c r="AB188" s="24">
        <f>858747</f>
        <v>858747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858747</f>
        <v>858747</v>
      </c>
      <c r="AX188" s="24"/>
      <c r="AY188" s="25" t="s">
        <v>74</v>
      </c>
      <c r="AZ188" s="25"/>
      <c r="BA188" s="24">
        <f>127998.49</f>
        <v>127998.49</v>
      </c>
      <c r="BB188" s="24"/>
      <c r="BC188" s="24"/>
      <c r="BD188" s="25" t="s">
        <v>74</v>
      </c>
      <c r="BE188" s="25"/>
      <c r="BF188" s="24">
        <f>127998.49</f>
        <v>127998.49</v>
      </c>
      <c r="BG188" s="24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127998.49</f>
        <v>127998.49</v>
      </c>
      <c r="BR188" s="24"/>
      <c r="BS188" s="24"/>
      <c r="BT188" s="27" t="s">
        <v>74</v>
      </c>
    </row>
    <row r="189" spans="1:72" s="1" customFormat="1" ht="54.75" customHeight="1">
      <c r="A189" s="16" t="s">
        <v>196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191</v>
      </c>
      <c r="N189" s="23"/>
      <c r="O189" s="23"/>
      <c r="P189" s="31" t="s">
        <v>356</v>
      </c>
      <c r="Q189" s="31"/>
      <c r="R189" s="31"/>
      <c r="S189" s="31"/>
      <c r="T189" s="31"/>
      <c r="U189" s="24">
        <f>514747</f>
        <v>514747</v>
      </c>
      <c r="V189" s="24"/>
      <c r="W189" s="24"/>
      <c r="X189" s="25" t="s">
        <v>74</v>
      </c>
      <c r="Y189" s="25"/>
      <c r="Z189" s="25"/>
      <c r="AA189" s="25"/>
      <c r="AB189" s="24">
        <f>514747</f>
        <v>514747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514747</f>
        <v>514747</v>
      </c>
      <c r="AX189" s="24"/>
      <c r="AY189" s="25" t="s">
        <v>74</v>
      </c>
      <c r="AZ189" s="25"/>
      <c r="BA189" s="24">
        <f>87055.24</f>
        <v>87055.24</v>
      </c>
      <c r="BB189" s="24"/>
      <c r="BC189" s="24"/>
      <c r="BD189" s="25" t="s">
        <v>74</v>
      </c>
      <c r="BE189" s="25"/>
      <c r="BF189" s="24">
        <f>87055.24</f>
        <v>87055.24</v>
      </c>
      <c r="BG189" s="24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87055.24</f>
        <v>87055.24</v>
      </c>
      <c r="BR189" s="24"/>
      <c r="BS189" s="24"/>
      <c r="BT189" s="27" t="s">
        <v>74</v>
      </c>
    </row>
    <row r="190" spans="1:72" s="1" customFormat="1" ht="13.5" customHeight="1">
      <c r="A190" s="16" t="s">
        <v>244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191</v>
      </c>
      <c r="N190" s="23"/>
      <c r="O190" s="23"/>
      <c r="P190" s="31" t="s">
        <v>357</v>
      </c>
      <c r="Q190" s="31"/>
      <c r="R190" s="31"/>
      <c r="S190" s="31"/>
      <c r="T190" s="31"/>
      <c r="U190" s="24">
        <f>514747</f>
        <v>514747</v>
      </c>
      <c r="V190" s="24"/>
      <c r="W190" s="24"/>
      <c r="X190" s="25" t="s">
        <v>74</v>
      </c>
      <c r="Y190" s="25"/>
      <c r="Z190" s="25"/>
      <c r="AA190" s="25"/>
      <c r="AB190" s="24">
        <f>514747</f>
        <v>514747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514747</f>
        <v>514747</v>
      </c>
      <c r="AX190" s="24"/>
      <c r="AY190" s="25" t="s">
        <v>74</v>
      </c>
      <c r="AZ190" s="25"/>
      <c r="BA190" s="24">
        <f>87055.24</f>
        <v>87055.24</v>
      </c>
      <c r="BB190" s="24"/>
      <c r="BC190" s="24"/>
      <c r="BD190" s="25" t="s">
        <v>74</v>
      </c>
      <c r="BE190" s="25"/>
      <c r="BF190" s="24">
        <f>87055.24</f>
        <v>87055.24</v>
      </c>
      <c r="BG190" s="24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87055.24</f>
        <v>87055.24</v>
      </c>
      <c r="BR190" s="24"/>
      <c r="BS190" s="24"/>
      <c r="BT190" s="27" t="s">
        <v>74</v>
      </c>
    </row>
    <row r="191" spans="1:72" s="1" customFormat="1" ht="13.5" customHeight="1">
      <c r="A191" s="16" t="s">
        <v>246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191</v>
      </c>
      <c r="N191" s="23"/>
      <c r="O191" s="23"/>
      <c r="P191" s="31" t="s">
        <v>358</v>
      </c>
      <c r="Q191" s="31"/>
      <c r="R191" s="31"/>
      <c r="S191" s="31"/>
      <c r="T191" s="31"/>
      <c r="U191" s="24">
        <f>395351</f>
        <v>395351</v>
      </c>
      <c r="V191" s="24"/>
      <c r="W191" s="24"/>
      <c r="X191" s="25" t="s">
        <v>74</v>
      </c>
      <c r="Y191" s="25"/>
      <c r="Z191" s="25"/>
      <c r="AA191" s="25"/>
      <c r="AB191" s="24">
        <f>395351</f>
        <v>395351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395351</f>
        <v>395351</v>
      </c>
      <c r="AX191" s="24"/>
      <c r="AY191" s="25" t="s">
        <v>74</v>
      </c>
      <c r="AZ191" s="25"/>
      <c r="BA191" s="24">
        <f>69863.24</f>
        <v>69863.24</v>
      </c>
      <c r="BB191" s="24"/>
      <c r="BC191" s="24"/>
      <c r="BD191" s="25" t="s">
        <v>74</v>
      </c>
      <c r="BE191" s="25"/>
      <c r="BF191" s="24">
        <f>69863.24</f>
        <v>69863.24</v>
      </c>
      <c r="BG191" s="24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69863.24</f>
        <v>69863.24</v>
      </c>
      <c r="BR191" s="24"/>
      <c r="BS191" s="24"/>
      <c r="BT191" s="27" t="s">
        <v>74</v>
      </c>
    </row>
    <row r="192" spans="1:72" s="1" customFormat="1" ht="33.75" customHeight="1">
      <c r="A192" s="16" t="s">
        <v>248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191</v>
      </c>
      <c r="N192" s="23"/>
      <c r="O192" s="23"/>
      <c r="P192" s="31" t="s">
        <v>359</v>
      </c>
      <c r="Q192" s="31"/>
      <c r="R192" s="31"/>
      <c r="S192" s="31"/>
      <c r="T192" s="31"/>
      <c r="U192" s="24">
        <f>119396</f>
        <v>119396</v>
      </c>
      <c r="V192" s="24"/>
      <c r="W192" s="24"/>
      <c r="X192" s="25" t="s">
        <v>74</v>
      </c>
      <c r="Y192" s="25"/>
      <c r="Z192" s="25"/>
      <c r="AA192" s="25"/>
      <c r="AB192" s="24">
        <f>119396</f>
        <v>119396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119396</f>
        <v>119396</v>
      </c>
      <c r="AX192" s="24"/>
      <c r="AY192" s="25" t="s">
        <v>74</v>
      </c>
      <c r="AZ192" s="25"/>
      <c r="BA192" s="24">
        <f>17192</f>
        <v>17192</v>
      </c>
      <c r="BB192" s="24"/>
      <c r="BC192" s="24"/>
      <c r="BD192" s="25" t="s">
        <v>74</v>
      </c>
      <c r="BE192" s="25"/>
      <c r="BF192" s="24">
        <f>17192</f>
        <v>17192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17192</f>
        <v>17192</v>
      </c>
      <c r="BR192" s="24"/>
      <c r="BS192" s="24"/>
      <c r="BT192" s="27" t="s">
        <v>74</v>
      </c>
    </row>
    <row r="193" spans="1:72" s="1" customFormat="1" ht="24" customHeight="1">
      <c r="A193" s="16" t="s">
        <v>210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191</v>
      </c>
      <c r="N193" s="23"/>
      <c r="O193" s="23"/>
      <c r="P193" s="31" t="s">
        <v>360</v>
      </c>
      <c r="Q193" s="31"/>
      <c r="R193" s="31"/>
      <c r="S193" s="31"/>
      <c r="T193" s="31"/>
      <c r="U193" s="24">
        <f>178000</f>
        <v>178000</v>
      </c>
      <c r="V193" s="24"/>
      <c r="W193" s="24"/>
      <c r="X193" s="25" t="s">
        <v>74</v>
      </c>
      <c r="Y193" s="25"/>
      <c r="Z193" s="25"/>
      <c r="AA193" s="25"/>
      <c r="AB193" s="24">
        <f>178000</f>
        <v>178000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178000</f>
        <v>178000</v>
      </c>
      <c r="AX193" s="24"/>
      <c r="AY193" s="25" t="s">
        <v>74</v>
      </c>
      <c r="AZ193" s="25"/>
      <c r="BA193" s="24">
        <f>40943.25</f>
        <v>40943.25</v>
      </c>
      <c r="BB193" s="24"/>
      <c r="BC193" s="24"/>
      <c r="BD193" s="25" t="s">
        <v>74</v>
      </c>
      <c r="BE193" s="25"/>
      <c r="BF193" s="24">
        <f>40943.25</f>
        <v>40943.25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40943.25</f>
        <v>40943.25</v>
      </c>
      <c r="BR193" s="24"/>
      <c r="BS193" s="24"/>
      <c r="BT193" s="27" t="s">
        <v>74</v>
      </c>
    </row>
    <row r="194" spans="1:72" s="1" customFormat="1" ht="24" customHeight="1">
      <c r="A194" s="16" t="s">
        <v>212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191</v>
      </c>
      <c r="N194" s="23"/>
      <c r="O194" s="23"/>
      <c r="P194" s="31" t="s">
        <v>361</v>
      </c>
      <c r="Q194" s="31"/>
      <c r="R194" s="31"/>
      <c r="S194" s="31"/>
      <c r="T194" s="31"/>
      <c r="U194" s="24">
        <f>178000</f>
        <v>178000</v>
      </c>
      <c r="V194" s="24"/>
      <c r="W194" s="24"/>
      <c r="X194" s="25" t="s">
        <v>74</v>
      </c>
      <c r="Y194" s="25"/>
      <c r="Z194" s="25"/>
      <c r="AA194" s="25"/>
      <c r="AB194" s="24">
        <f>178000</f>
        <v>178000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178000</f>
        <v>178000</v>
      </c>
      <c r="AX194" s="24"/>
      <c r="AY194" s="25" t="s">
        <v>74</v>
      </c>
      <c r="AZ194" s="25"/>
      <c r="BA194" s="24">
        <f>40943.25</f>
        <v>40943.25</v>
      </c>
      <c r="BB194" s="24"/>
      <c r="BC194" s="24"/>
      <c r="BD194" s="25" t="s">
        <v>74</v>
      </c>
      <c r="BE194" s="25"/>
      <c r="BF194" s="24">
        <f>40943.25</f>
        <v>40943.25</v>
      </c>
      <c r="BG194" s="24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40943.25</f>
        <v>40943.25</v>
      </c>
      <c r="BR194" s="24"/>
      <c r="BS194" s="24"/>
      <c r="BT194" s="27" t="s">
        <v>74</v>
      </c>
    </row>
    <row r="195" spans="1:72" s="1" customFormat="1" ht="13.5" customHeight="1">
      <c r="A195" s="16" t="s">
        <v>214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191</v>
      </c>
      <c r="N195" s="23"/>
      <c r="O195" s="23"/>
      <c r="P195" s="31" t="s">
        <v>362</v>
      </c>
      <c r="Q195" s="31"/>
      <c r="R195" s="31"/>
      <c r="S195" s="31"/>
      <c r="T195" s="31"/>
      <c r="U195" s="24">
        <f>178000</f>
        <v>178000</v>
      </c>
      <c r="V195" s="24"/>
      <c r="W195" s="24"/>
      <c r="X195" s="25" t="s">
        <v>74</v>
      </c>
      <c r="Y195" s="25"/>
      <c r="Z195" s="25"/>
      <c r="AA195" s="25"/>
      <c r="AB195" s="24">
        <f>178000</f>
        <v>178000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178000</f>
        <v>178000</v>
      </c>
      <c r="AX195" s="24"/>
      <c r="AY195" s="25" t="s">
        <v>74</v>
      </c>
      <c r="AZ195" s="25"/>
      <c r="BA195" s="24">
        <f>40943.25</f>
        <v>40943.25</v>
      </c>
      <c r="BB195" s="24"/>
      <c r="BC195" s="24"/>
      <c r="BD195" s="25" t="s">
        <v>74</v>
      </c>
      <c r="BE195" s="25"/>
      <c r="BF195" s="24">
        <f>40943.25</f>
        <v>40943.25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40943.25</f>
        <v>40943.25</v>
      </c>
      <c r="BR195" s="24"/>
      <c r="BS195" s="24"/>
      <c r="BT195" s="27" t="s">
        <v>74</v>
      </c>
    </row>
    <row r="196" spans="1:72" s="1" customFormat="1" ht="13.5" customHeight="1">
      <c r="A196" s="16" t="s">
        <v>218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191</v>
      </c>
      <c r="N196" s="23"/>
      <c r="O196" s="23"/>
      <c r="P196" s="31" t="s">
        <v>363</v>
      </c>
      <c r="Q196" s="31"/>
      <c r="R196" s="31"/>
      <c r="S196" s="31"/>
      <c r="T196" s="31"/>
      <c r="U196" s="24">
        <f>166000</f>
        <v>166000</v>
      </c>
      <c r="V196" s="24"/>
      <c r="W196" s="24"/>
      <c r="X196" s="25" t="s">
        <v>74</v>
      </c>
      <c r="Y196" s="25"/>
      <c r="Z196" s="25"/>
      <c r="AA196" s="25"/>
      <c r="AB196" s="24">
        <f>166000</f>
        <v>166000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166000</f>
        <v>166000</v>
      </c>
      <c r="AX196" s="24"/>
      <c r="AY196" s="25" t="s">
        <v>74</v>
      </c>
      <c r="AZ196" s="25"/>
      <c r="BA196" s="25" t="s">
        <v>74</v>
      </c>
      <c r="BB196" s="25"/>
      <c r="BC196" s="25"/>
      <c r="BD196" s="25" t="s">
        <v>74</v>
      </c>
      <c r="BE196" s="25"/>
      <c r="BF196" s="25" t="s">
        <v>74</v>
      </c>
      <c r="BG196" s="25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5" t="s">
        <v>74</v>
      </c>
      <c r="BR196" s="25"/>
      <c r="BS196" s="25"/>
      <c r="BT196" s="27" t="s">
        <v>74</v>
      </c>
    </row>
    <row r="197" spans="1:72" s="1" customFormat="1" ht="13.5" customHeight="1">
      <c r="A197" s="16" t="s">
        <v>220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191</v>
      </c>
      <c r="N197" s="23"/>
      <c r="O197" s="23"/>
      <c r="P197" s="31" t="s">
        <v>364</v>
      </c>
      <c r="Q197" s="31"/>
      <c r="R197" s="31"/>
      <c r="S197" s="31"/>
      <c r="T197" s="31"/>
      <c r="U197" s="24">
        <f>166000</f>
        <v>166000</v>
      </c>
      <c r="V197" s="24"/>
      <c r="W197" s="24"/>
      <c r="X197" s="25" t="s">
        <v>74</v>
      </c>
      <c r="Y197" s="25"/>
      <c r="Z197" s="25"/>
      <c r="AA197" s="25"/>
      <c r="AB197" s="24">
        <f>166000</f>
        <v>166000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166000</f>
        <v>166000</v>
      </c>
      <c r="AX197" s="24"/>
      <c r="AY197" s="25" t="s">
        <v>74</v>
      </c>
      <c r="AZ197" s="25"/>
      <c r="BA197" s="25" t="s">
        <v>74</v>
      </c>
      <c r="BB197" s="25"/>
      <c r="BC197" s="25"/>
      <c r="BD197" s="25" t="s">
        <v>74</v>
      </c>
      <c r="BE197" s="25"/>
      <c r="BF197" s="25" t="s">
        <v>74</v>
      </c>
      <c r="BG197" s="25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5" t="s">
        <v>74</v>
      </c>
      <c r="BR197" s="25"/>
      <c r="BS197" s="25"/>
      <c r="BT197" s="27" t="s">
        <v>74</v>
      </c>
    </row>
    <row r="198" spans="1:72" s="1" customFormat="1" ht="24" customHeight="1">
      <c r="A198" s="16" t="s">
        <v>222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191</v>
      </c>
      <c r="N198" s="23"/>
      <c r="O198" s="23"/>
      <c r="P198" s="31" t="s">
        <v>365</v>
      </c>
      <c r="Q198" s="31"/>
      <c r="R198" s="31"/>
      <c r="S198" s="31"/>
      <c r="T198" s="31"/>
      <c r="U198" s="24">
        <f>55000</f>
        <v>55000</v>
      </c>
      <c r="V198" s="24"/>
      <c r="W198" s="24"/>
      <c r="X198" s="25" t="s">
        <v>74</v>
      </c>
      <c r="Y198" s="25"/>
      <c r="Z198" s="25"/>
      <c r="AA198" s="25"/>
      <c r="AB198" s="24">
        <f>55000</f>
        <v>55000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55000</f>
        <v>55000</v>
      </c>
      <c r="AX198" s="24"/>
      <c r="AY198" s="25" t="s">
        <v>74</v>
      </c>
      <c r="AZ198" s="25"/>
      <c r="BA198" s="25" t="s">
        <v>74</v>
      </c>
      <c r="BB198" s="25"/>
      <c r="BC198" s="25"/>
      <c r="BD198" s="25" t="s">
        <v>74</v>
      </c>
      <c r="BE198" s="25"/>
      <c r="BF198" s="25" t="s">
        <v>74</v>
      </c>
      <c r="BG198" s="25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5" t="s">
        <v>74</v>
      </c>
      <c r="BR198" s="25"/>
      <c r="BS198" s="25"/>
      <c r="BT198" s="27" t="s">
        <v>74</v>
      </c>
    </row>
    <row r="199" spans="1:72" s="1" customFormat="1" ht="13.5" customHeight="1">
      <c r="A199" s="16" t="s">
        <v>224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191</v>
      </c>
      <c r="N199" s="23"/>
      <c r="O199" s="23"/>
      <c r="P199" s="31" t="s">
        <v>366</v>
      </c>
      <c r="Q199" s="31"/>
      <c r="R199" s="31"/>
      <c r="S199" s="31"/>
      <c r="T199" s="31"/>
      <c r="U199" s="24">
        <f>1000</f>
        <v>1000</v>
      </c>
      <c r="V199" s="24"/>
      <c r="W199" s="24"/>
      <c r="X199" s="25" t="s">
        <v>74</v>
      </c>
      <c r="Y199" s="25"/>
      <c r="Z199" s="25"/>
      <c r="AA199" s="25"/>
      <c r="AB199" s="24">
        <f>1000</f>
        <v>1000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1000</f>
        <v>1000</v>
      </c>
      <c r="AX199" s="24"/>
      <c r="AY199" s="25" t="s">
        <v>74</v>
      </c>
      <c r="AZ199" s="25"/>
      <c r="BA199" s="25" t="s">
        <v>74</v>
      </c>
      <c r="BB199" s="25"/>
      <c r="BC199" s="25"/>
      <c r="BD199" s="25" t="s">
        <v>74</v>
      </c>
      <c r="BE199" s="25"/>
      <c r="BF199" s="25" t="s">
        <v>74</v>
      </c>
      <c r="BG199" s="25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5" t="s">
        <v>74</v>
      </c>
      <c r="BR199" s="25"/>
      <c r="BS199" s="25"/>
      <c r="BT199" s="27" t="s">
        <v>74</v>
      </c>
    </row>
    <row r="200" spans="1:72" s="1" customFormat="1" ht="13.5" customHeight="1">
      <c r="A200" s="16" t="s">
        <v>264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191</v>
      </c>
      <c r="N200" s="23"/>
      <c r="O200" s="23"/>
      <c r="P200" s="31" t="s">
        <v>367</v>
      </c>
      <c r="Q200" s="31"/>
      <c r="R200" s="31"/>
      <c r="S200" s="31"/>
      <c r="T200" s="31"/>
      <c r="U200" s="24">
        <f>110000</f>
        <v>110000</v>
      </c>
      <c r="V200" s="24"/>
      <c r="W200" s="24"/>
      <c r="X200" s="25" t="s">
        <v>74</v>
      </c>
      <c r="Y200" s="25"/>
      <c r="Z200" s="25"/>
      <c r="AA200" s="25"/>
      <c r="AB200" s="24">
        <f>110000</f>
        <v>110000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110000</f>
        <v>110000</v>
      </c>
      <c r="AX200" s="24"/>
      <c r="AY200" s="25" t="s">
        <v>74</v>
      </c>
      <c r="AZ200" s="25"/>
      <c r="BA200" s="25" t="s">
        <v>74</v>
      </c>
      <c r="BB200" s="25"/>
      <c r="BC200" s="25"/>
      <c r="BD200" s="25" t="s">
        <v>74</v>
      </c>
      <c r="BE200" s="25"/>
      <c r="BF200" s="25" t="s">
        <v>74</v>
      </c>
      <c r="BG200" s="25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5" t="s">
        <v>74</v>
      </c>
      <c r="BR200" s="25"/>
      <c r="BS200" s="25"/>
      <c r="BT200" s="27" t="s">
        <v>74</v>
      </c>
    </row>
    <row r="201" spans="1:72" s="1" customFormat="1" ht="13.5" customHeight="1">
      <c r="A201" s="16" t="s">
        <v>368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191</v>
      </c>
      <c r="N201" s="23"/>
      <c r="O201" s="23"/>
      <c r="P201" s="31" t="s">
        <v>369</v>
      </c>
      <c r="Q201" s="31"/>
      <c r="R201" s="31"/>
      <c r="S201" s="31"/>
      <c r="T201" s="31"/>
      <c r="U201" s="24">
        <f>150000</f>
        <v>150000</v>
      </c>
      <c r="V201" s="24"/>
      <c r="W201" s="24"/>
      <c r="X201" s="25" t="s">
        <v>74</v>
      </c>
      <c r="Y201" s="25"/>
      <c r="Z201" s="25"/>
      <c r="AA201" s="25"/>
      <c r="AB201" s="24">
        <f>150000</f>
        <v>150000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150000</f>
        <v>150000</v>
      </c>
      <c r="AX201" s="24"/>
      <c r="AY201" s="25" t="s">
        <v>74</v>
      </c>
      <c r="AZ201" s="25"/>
      <c r="BA201" s="24">
        <f>11281.26</f>
        <v>11281.26</v>
      </c>
      <c r="BB201" s="24"/>
      <c r="BC201" s="24"/>
      <c r="BD201" s="25" t="s">
        <v>74</v>
      </c>
      <c r="BE201" s="25"/>
      <c r="BF201" s="24">
        <f>11281.26</f>
        <v>11281.26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11281.26</f>
        <v>11281.26</v>
      </c>
      <c r="BR201" s="24"/>
      <c r="BS201" s="24"/>
      <c r="BT201" s="27" t="s">
        <v>74</v>
      </c>
    </row>
    <row r="202" spans="1:72" s="1" customFormat="1" ht="24" customHeight="1">
      <c r="A202" s="16" t="s">
        <v>210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191</v>
      </c>
      <c r="N202" s="23"/>
      <c r="O202" s="23"/>
      <c r="P202" s="31" t="s">
        <v>370</v>
      </c>
      <c r="Q202" s="31"/>
      <c r="R202" s="31"/>
      <c r="S202" s="31"/>
      <c r="T202" s="31"/>
      <c r="U202" s="24">
        <f>150000</f>
        <v>150000</v>
      </c>
      <c r="V202" s="24"/>
      <c r="W202" s="24"/>
      <c r="X202" s="25" t="s">
        <v>74</v>
      </c>
      <c r="Y202" s="25"/>
      <c r="Z202" s="25"/>
      <c r="AA202" s="25"/>
      <c r="AB202" s="24">
        <f>150000</f>
        <v>150000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150000</f>
        <v>150000</v>
      </c>
      <c r="AX202" s="24"/>
      <c r="AY202" s="25" t="s">
        <v>74</v>
      </c>
      <c r="AZ202" s="25"/>
      <c r="BA202" s="24">
        <f>11281.26</f>
        <v>11281.26</v>
      </c>
      <c r="BB202" s="24"/>
      <c r="BC202" s="24"/>
      <c r="BD202" s="25" t="s">
        <v>74</v>
      </c>
      <c r="BE202" s="25"/>
      <c r="BF202" s="24">
        <f>11281.26</f>
        <v>11281.26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11281.26</f>
        <v>11281.26</v>
      </c>
      <c r="BR202" s="24"/>
      <c r="BS202" s="24"/>
      <c r="BT202" s="27" t="s">
        <v>74</v>
      </c>
    </row>
    <row r="203" spans="1:72" s="1" customFormat="1" ht="24" customHeight="1">
      <c r="A203" s="16" t="s">
        <v>212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191</v>
      </c>
      <c r="N203" s="23"/>
      <c r="O203" s="23"/>
      <c r="P203" s="31" t="s">
        <v>371</v>
      </c>
      <c r="Q203" s="31"/>
      <c r="R203" s="31"/>
      <c r="S203" s="31"/>
      <c r="T203" s="31"/>
      <c r="U203" s="24">
        <f>150000</f>
        <v>150000</v>
      </c>
      <c r="V203" s="24"/>
      <c r="W203" s="24"/>
      <c r="X203" s="25" t="s">
        <v>74</v>
      </c>
      <c r="Y203" s="25"/>
      <c r="Z203" s="25"/>
      <c r="AA203" s="25"/>
      <c r="AB203" s="24">
        <f>150000</f>
        <v>150000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150000</f>
        <v>150000</v>
      </c>
      <c r="AX203" s="24"/>
      <c r="AY203" s="25" t="s">
        <v>74</v>
      </c>
      <c r="AZ203" s="25"/>
      <c r="BA203" s="24">
        <f>11281.26</f>
        <v>11281.26</v>
      </c>
      <c r="BB203" s="24"/>
      <c r="BC203" s="24"/>
      <c r="BD203" s="25" t="s">
        <v>74</v>
      </c>
      <c r="BE203" s="25"/>
      <c r="BF203" s="24">
        <f>11281.26</f>
        <v>11281.26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11281.26</f>
        <v>11281.26</v>
      </c>
      <c r="BR203" s="24"/>
      <c r="BS203" s="24"/>
      <c r="BT203" s="27" t="s">
        <v>74</v>
      </c>
    </row>
    <row r="204" spans="1:72" s="1" customFormat="1" ht="13.5" customHeight="1">
      <c r="A204" s="16" t="s">
        <v>214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191</v>
      </c>
      <c r="N204" s="23"/>
      <c r="O204" s="23"/>
      <c r="P204" s="31" t="s">
        <v>372</v>
      </c>
      <c r="Q204" s="31"/>
      <c r="R204" s="31"/>
      <c r="S204" s="31"/>
      <c r="T204" s="31"/>
      <c r="U204" s="24">
        <f>150000</f>
        <v>150000</v>
      </c>
      <c r="V204" s="24"/>
      <c r="W204" s="24"/>
      <c r="X204" s="25" t="s">
        <v>74</v>
      </c>
      <c r="Y204" s="25"/>
      <c r="Z204" s="25"/>
      <c r="AA204" s="25"/>
      <c r="AB204" s="24">
        <f>150000</f>
        <v>150000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150000</f>
        <v>150000</v>
      </c>
      <c r="AX204" s="24"/>
      <c r="AY204" s="25" t="s">
        <v>74</v>
      </c>
      <c r="AZ204" s="25"/>
      <c r="BA204" s="24">
        <f>11281.26</f>
        <v>11281.26</v>
      </c>
      <c r="BB204" s="24"/>
      <c r="BC204" s="24"/>
      <c r="BD204" s="25" t="s">
        <v>74</v>
      </c>
      <c r="BE204" s="25"/>
      <c r="BF204" s="24">
        <f>11281.26</f>
        <v>11281.26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11281.26</f>
        <v>11281.26</v>
      </c>
      <c r="BR204" s="24"/>
      <c r="BS204" s="24"/>
      <c r="BT204" s="27" t="s">
        <v>74</v>
      </c>
    </row>
    <row r="205" spans="1:72" s="1" customFormat="1" ht="27" customHeight="1">
      <c r="A205" s="32" t="s">
        <v>373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3" t="s">
        <v>374</v>
      </c>
      <c r="N205" s="33"/>
      <c r="O205" s="33"/>
      <c r="P205" s="33" t="s">
        <v>73</v>
      </c>
      <c r="Q205" s="33"/>
      <c r="R205" s="33"/>
      <c r="S205" s="33"/>
      <c r="T205" s="33"/>
      <c r="U205" s="34">
        <f>-42473507.87</f>
        <v>-42473507.87</v>
      </c>
      <c r="V205" s="34"/>
      <c r="W205" s="34"/>
      <c r="X205" s="35" t="s">
        <v>74</v>
      </c>
      <c r="Y205" s="35"/>
      <c r="Z205" s="35"/>
      <c r="AA205" s="35"/>
      <c r="AB205" s="34">
        <f>-42473507.87</f>
        <v>-42473507.87</v>
      </c>
      <c r="AC205" s="34"/>
      <c r="AD205" s="34"/>
      <c r="AE205" s="36">
        <f>34064359</f>
        <v>34064359</v>
      </c>
      <c r="AF205" s="37" t="s">
        <v>74</v>
      </c>
      <c r="AG205" s="35" t="s">
        <v>74</v>
      </c>
      <c r="AH205" s="35"/>
      <c r="AI205" s="35"/>
      <c r="AJ205" s="35" t="s">
        <v>74</v>
      </c>
      <c r="AK205" s="35"/>
      <c r="AL205" s="35" t="s">
        <v>74</v>
      </c>
      <c r="AM205" s="35"/>
      <c r="AN205" s="35" t="s">
        <v>74</v>
      </c>
      <c r="AO205" s="35"/>
      <c r="AP205" s="35" t="s">
        <v>74</v>
      </c>
      <c r="AQ205" s="35"/>
      <c r="AR205" s="35"/>
      <c r="AS205" s="37" t="s">
        <v>74</v>
      </c>
      <c r="AT205" s="35" t="s">
        <v>74</v>
      </c>
      <c r="AU205" s="35"/>
      <c r="AV205" s="35"/>
      <c r="AW205" s="34">
        <f>-8409148.87</f>
        <v>-8409148.87</v>
      </c>
      <c r="AX205" s="34"/>
      <c r="AY205" s="35" t="s">
        <v>74</v>
      </c>
      <c r="AZ205" s="35"/>
      <c r="BA205" s="34">
        <f>-4574872.22</f>
        <v>-4574872.22</v>
      </c>
      <c r="BB205" s="34"/>
      <c r="BC205" s="34"/>
      <c r="BD205" s="35" t="s">
        <v>74</v>
      </c>
      <c r="BE205" s="35"/>
      <c r="BF205" s="34">
        <f>-4574872.22</f>
        <v>-4574872.22</v>
      </c>
      <c r="BG205" s="34"/>
      <c r="BH205" s="36">
        <f>4385201.35</f>
        <v>4385201.35</v>
      </c>
      <c r="BI205" s="37" t="s">
        <v>74</v>
      </c>
      <c r="BJ205" s="37" t="s">
        <v>74</v>
      </c>
      <c r="BK205" s="37" t="s">
        <v>74</v>
      </c>
      <c r="BL205" s="37" t="s">
        <v>74</v>
      </c>
      <c r="BM205" s="37" t="s">
        <v>74</v>
      </c>
      <c r="BN205" s="37" t="s">
        <v>74</v>
      </c>
      <c r="BO205" s="37" t="s">
        <v>74</v>
      </c>
      <c r="BP205" s="37" t="s">
        <v>74</v>
      </c>
      <c r="BQ205" s="34">
        <f>-189670.87</f>
        <v>-189670.87</v>
      </c>
      <c r="BR205" s="34"/>
      <c r="BS205" s="34"/>
      <c r="BT205" s="38" t="s">
        <v>74</v>
      </c>
    </row>
    <row r="206" spans="1:72" s="1" customFormat="1" ht="13.5" customHeight="1">
      <c r="A206" s="29" t="s">
        <v>9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</row>
    <row r="207" spans="1:72" s="1" customFormat="1" ht="15.75" customHeight="1">
      <c r="A207" s="12" t="s">
        <v>375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</row>
    <row r="208" spans="1:72" s="1" customFormat="1" ht="28.5" customHeight="1">
      <c r="A208" s="3" t="s">
        <v>21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 t="s">
        <v>22</v>
      </c>
      <c r="N208" s="3"/>
      <c r="O208" s="3"/>
      <c r="P208" s="3" t="s">
        <v>23</v>
      </c>
      <c r="Q208" s="3"/>
      <c r="R208" s="3"/>
      <c r="S208" s="3"/>
      <c r="T208" s="3"/>
      <c r="U208" s="3" t="s">
        <v>24</v>
      </c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 t="s">
        <v>39</v>
      </c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</row>
    <row r="209" spans="1:72" s="1" customFormat="1" ht="126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3" t="s">
        <v>25</v>
      </c>
      <c r="V209" s="13"/>
      <c r="W209" s="13"/>
      <c r="X209" s="13" t="s">
        <v>26</v>
      </c>
      <c r="Y209" s="13"/>
      <c r="Z209" s="13"/>
      <c r="AA209" s="13"/>
      <c r="AB209" s="13" t="s">
        <v>27</v>
      </c>
      <c r="AC209" s="13"/>
      <c r="AD209" s="13"/>
      <c r="AE209" s="14" t="s">
        <v>28</v>
      </c>
      <c r="AF209" s="14" t="s">
        <v>29</v>
      </c>
      <c r="AG209" s="13" t="s">
        <v>30</v>
      </c>
      <c r="AH209" s="13"/>
      <c r="AI209" s="13"/>
      <c r="AJ209" s="13" t="s">
        <v>31</v>
      </c>
      <c r="AK209" s="13"/>
      <c r="AL209" s="13" t="s">
        <v>32</v>
      </c>
      <c r="AM209" s="13"/>
      <c r="AN209" s="13" t="s">
        <v>33</v>
      </c>
      <c r="AO209" s="13"/>
      <c r="AP209" s="13" t="s">
        <v>34</v>
      </c>
      <c r="AQ209" s="13"/>
      <c r="AR209" s="13"/>
      <c r="AS209" s="14" t="s">
        <v>35</v>
      </c>
      <c r="AT209" s="13" t="s">
        <v>36</v>
      </c>
      <c r="AU209" s="13"/>
      <c r="AV209" s="13"/>
      <c r="AW209" s="13" t="s">
        <v>37</v>
      </c>
      <c r="AX209" s="13"/>
      <c r="AY209" s="13" t="s">
        <v>38</v>
      </c>
      <c r="AZ209" s="13"/>
      <c r="BA209" s="13" t="s">
        <v>25</v>
      </c>
      <c r="BB209" s="13"/>
      <c r="BC209" s="13"/>
      <c r="BD209" s="13" t="s">
        <v>26</v>
      </c>
      <c r="BE209" s="13"/>
      <c r="BF209" s="13" t="s">
        <v>27</v>
      </c>
      <c r="BG209" s="13"/>
      <c r="BH209" s="14" t="s">
        <v>28</v>
      </c>
      <c r="BI209" s="14" t="s">
        <v>29</v>
      </c>
      <c r="BJ209" s="14" t="s">
        <v>30</v>
      </c>
      <c r="BK209" s="14" t="s">
        <v>31</v>
      </c>
      <c r="BL209" s="14" t="s">
        <v>32</v>
      </c>
      <c r="BM209" s="14" t="s">
        <v>33</v>
      </c>
      <c r="BN209" s="14" t="s">
        <v>34</v>
      </c>
      <c r="BO209" s="14" t="s">
        <v>35</v>
      </c>
      <c r="BP209" s="14" t="s">
        <v>36</v>
      </c>
      <c r="BQ209" s="13" t="s">
        <v>37</v>
      </c>
      <c r="BR209" s="13"/>
      <c r="BS209" s="13"/>
      <c r="BT209" s="14" t="s">
        <v>38</v>
      </c>
    </row>
    <row r="210" spans="1:72" s="1" customFormat="1" ht="13.5" customHeight="1">
      <c r="A210" s="3" t="s">
        <v>40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 t="s">
        <v>41</v>
      </c>
      <c r="N210" s="3"/>
      <c r="O210" s="3"/>
      <c r="P210" s="3" t="s">
        <v>42</v>
      </c>
      <c r="Q210" s="3"/>
      <c r="R210" s="3"/>
      <c r="S210" s="3"/>
      <c r="T210" s="3"/>
      <c r="U210" s="3" t="s">
        <v>43</v>
      </c>
      <c r="V210" s="3"/>
      <c r="W210" s="3"/>
      <c r="X210" s="3" t="s">
        <v>44</v>
      </c>
      <c r="Y210" s="3"/>
      <c r="Z210" s="3"/>
      <c r="AA210" s="3"/>
      <c r="AB210" s="3" t="s">
        <v>45</v>
      </c>
      <c r="AC210" s="3"/>
      <c r="AD210" s="3"/>
      <c r="AE210" s="15" t="s">
        <v>46</v>
      </c>
      <c r="AF210" s="15" t="s">
        <v>47</v>
      </c>
      <c r="AG210" s="3" t="s">
        <v>48</v>
      </c>
      <c r="AH210" s="3"/>
      <c r="AI210" s="3"/>
      <c r="AJ210" s="3" t="s">
        <v>49</v>
      </c>
      <c r="AK210" s="3"/>
      <c r="AL210" s="3" t="s">
        <v>50</v>
      </c>
      <c r="AM210" s="3"/>
      <c r="AN210" s="3" t="s">
        <v>51</v>
      </c>
      <c r="AO210" s="3"/>
      <c r="AP210" s="3" t="s">
        <v>52</v>
      </c>
      <c r="AQ210" s="3"/>
      <c r="AR210" s="3"/>
      <c r="AS210" s="15" t="s">
        <v>53</v>
      </c>
      <c r="AT210" s="3" t="s">
        <v>54</v>
      </c>
      <c r="AU210" s="3"/>
      <c r="AV210" s="3"/>
      <c r="AW210" s="3" t="s">
        <v>55</v>
      </c>
      <c r="AX210" s="3"/>
      <c r="AY210" s="3" t="s">
        <v>56</v>
      </c>
      <c r="AZ210" s="3"/>
      <c r="BA210" s="3" t="s">
        <v>57</v>
      </c>
      <c r="BB210" s="3"/>
      <c r="BC210" s="3"/>
      <c r="BD210" s="3" t="s">
        <v>58</v>
      </c>
      <c r="BE210" s="3"/>
      <c r="BF210" s="3" t="s">
        <v>59</v>
      </c>
      <c r="BG210" s="3"/>
      <c r="BH210" s="15" t="s">
        <v>60</v>
      </c>
      <c r="BI210" s="15" t="s">
        <v>61</v>
      </c>
      <c r="BJ210" s="15" t="s">
        <v>62</v>
      </c>
      <c r="BK210" s="15" t="s">
        <v>63</v>
      </c>
      <c r="BL210" s="15" t="s">
        <v>64</v>
      </c>
      <c r="BM210" s="15" t="s">
        <v>65</v>
      </c>
      <c r="BN210" s="15" t="s">
        <v>66</v>
      </c>
      <c r="BO210" s="15" t="s">
        <v>67</v>
      </c>
      <c r="BP210" s="15" t="s">
        <v>68</v>
      </c>
      <c r="BQ210" s="3" t="s">
        <v>69</v>
      </c>
      <c r="BR210" s="3"/>
      <c r="BS210" s="3"/>
      <c r="BT210" s="15" t="s">
        <v>70</v>
      </c>
    </row>
    <row r="211" spans="1:72" s="1" customFormat="1" ht="27" customHeight="1">
      <c r="A211" s="16" t="s">
        <v>376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7" t="s">
        <v>377</v>
      </c>
      <c r="N211" s="17"/>
      <c r="O211" s="17"/>
      <c r="P211" s="17" t="s">
        <v>73</v>
      </c>
      <c r="Q211" s="17"/>
      <c r="R211" s="17"/>
      <c r="S211" s="17"/>
      <c r="T211" s="17"/>
      <c r="U211" s="18">
        <f>42473507.87</f>
        <v>42473507.87</v>
      </c>
      <c r="V211" s="18"/>
      <c r="W211" s="18"/>
      <c r="X211" s="19" t="s">
        <v>74</v>
      </c>
      <c r="Y211" s="19"/>
      <c r="Z211" s="19"/>
      <c r="AA211" s="19"/>
      <c r="AB211" s="18">
        <f>42473507.87</f>
        <v>42473507.87</v>
      </c>
      <c r="AC211" s="18"/>
      <c r="AD211" s="18"/>
      <c r="AE211" s="20">
        <f>-34064359</f>
        <v>-34064359</v>
      </c>
      <c r="AF211" s="21" t="s">
        <v>74</v>
      </c>
      <c r="AG211" s="19" t="s">
        <v>74</v>
      </c>
      <c r="AH211" s="19"/>
      <c r="AI211" s="19"/>
      <c r="AJ211" s="19" t="s">
        <v>74</v>
      </c>
      <c r="AK211" s="19"/>
      <c r="AL211" s="19" t="s">
        <v>74</v>
      </c>
      <c r="AM211" s="19"/>
      <c r="AN211" s="19" t="s">
        <v>74</v>
      </c>
      <c r="AO211" s="19"/>
      <c r="AP211" s="19" t="s">
        <v>74</v>
      </c>
      <c r="AQ211" s="19"/>
      <c r="AR211" s="19"/>
      <c r="AS211" s="21" t="s">
        <v>74</v>
      </c>
      <c r="AT211" s="19" t="s">
        <v>74</v>
      </c>
      <c r="AU211" s="19"/>
      <c r="AV211" s="19"/>
      <c r="AW211" s="18">
        <f>8409148.87</f>
        <v>8409148.87</v>
      </c>
      <c r="AX211" s="18"/>
      <c r="AY211" s="19" t="s">
        <v>74</v>
      </c>
      <c r="AZ211" s="19"/>
      <c r="BA211" s="18">
        <f>4574872.22</f>
        <v>4574872.22</v>
      </c>
      <c r="BB211" s="18"/>
      <c r="BC211" s="18"/>
      <c r="BD211" s="19" t="s">
        <v>74</v>
      </c>
      <c r="BE211" s="19"/>
      <c r="BF211" s="18">
        <f>4574872.22</f>
        <v>4574872.22</v>
      </c>
      <c r="BG211" s="18"/>
      <c r="BH211" s="20">
        <f>-4385201.35</f>
        <v>-4385201.35</v>
      </c>
      <c r="BI211" s="21" t="s">
        <v>74</v>
      </c>
      <c r="BJ211" s="21" t="s">
        <v>74</v>
      </c>
      <c r="BK211" s="21" t="s">
        <v>74</v>
      </c>
      <c r="BL211" s="21" t="s">
        <v>74</v>
      </c>
      <c r="BM211" s="21" t="s">
        <v>74</v>
      </c>
      <c r="BN211" s="21" t="s">
        <v>74</v>
      </c>
      <c r="BO211" s="21" t="s">
        <v>74</v>
      </c>
      <c r="BP211" s="21" t="s">
        <v>74</v>
      </c>
      <c r="BQ211" s="18">
        <f>189670.87</f>
        <v>189670.87</v>
      </c>
      <c r="BR211" s="18"/>
      <c r="BS211" s="18"/>
      <c r="BT211" s="22" t="s">
        <v>74</v>
      </c>
    </row>
    <row r="212" spans="1:72" s="1" customFormat="1" ht="24" customHeight="1">
      <c r="A212" s="16" t="s">
        <v>378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379</v>
      </c>
      <c r="N212" s="23"/>
      <c r="O212" s="23"/>
      <c r="P212" s="23" t="s">
        <v>73</v>
      </c>
      <c r="Q212" s="23"/>
      <c r="R212" s="23"/>
      <c r="S212" s="23"/>
      <c r="T212" s="23"/>
      <c r="U212" s="25" t="s">
        <v>74</v>
      </c>
      <c r="V212" s="25"/>
      <c r="W212" s="25"/>
      <c r="X212" s="25" t="s">
        <v>74</v>
      </c>
      <c r="Y212" s="25"/>
      <c r="Z212" s="25"/>
      <c r="AA212" s="25"/>
      <c r="AB212" s="25" t="s">
        <v>74</v>
      </c>
      <c r="AC212" s="25"/>
      <c r="AD212" s="25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5" t="s">
        <v>74</v>
      </c>
      <c r="AX212" s="25"/>
      <c r="AY212" s="25" t="s">
        <v>74</v>
      </c>
      <c r="AZ212" s="25"/>
      <c r="BA212" s="25" t="s">
        <v>74</v>
      </c>
      <c r="BB212" s="25"/>
      <c r="BC212" s="25"/>
      <c r="BD212" s="25" t="s">
        <v>74</v>
      </c>
      <c r="BE212" s="25"/>
      <c r="BF212" s="25" t="s">
        <v>74</v>
      </c>
      <c r="BG212" s="25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5" t="s">
        <v>74</v>
      </c>
      <c r="BR212" s="25"/>
      <c r="BS212" s="25"/>
      <c r="BT212" s="27" t="s">
        <v>74</v>
      </c>
    </row>
    <row r="213" spans="1:72" s="1" customFormat="1" ht="13.5" customHeight="1">
      <c r="A213" s="16" t="s">
        <v>9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379</v>
      </c>
      <c r="N213" s="23"/>
      <c r="O213" s="23"/>
      <c r="P213" s="23" t="s">
        <v>9</v>
      </c>
      <c r="Q213" s="23"/>
      <c r="R213" s="23"/>
      <c r="S213" s="23"/>
      <c r="T213" s="23"/>
      <c r="U213" s="25" t="s">
        <v>74</v>
      </c>
      <c r="V213" s="25"/>
      <c r="W213" s="25"/>
      <c r="X213" s="25" t="s">
        <v>74</v>
      </c>
      <c r="Y213" s="25"/>
      <c r="Z213" s="25"/>
      <c r="AA213" s="25"/>
      <c r="AB213" s="25" t="s">
        <v>74</v>
      </c>
      <c r="AC213" s="25"/>
      <c r="AD213" s="25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5" t="s">
        <v>74</v>
      </c>
      <c r="AX213" s="25"/>
      <c r="AY213" s="25" t="s">
        <v>74</v>
      </c>
      <c r="AZ213" s="25"/>
      <c r="BA213" s="25" t="s">
        <v>74</v>
      </c>
      <c r="BB213" s="25"/>
      <c r="BC213" s="25"/>
      <c r="BD213" s="25" t="s">
        <v>74</v>
      </c>
      <c r="BE213" s="25"/>
      <c r="BF213" s="25" t="s">
        <v>74</v>
      </c>
      <c r="BG213" s="25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5" t="s">
        <v>74</v>
      </c>
      <c r="BR213" s="25"/>
      <c r="BS213" s="25"/>
      <c r="BT213" s="27" t="s">
        <v>74</v>
      </c>
    </row>
    <row r="214" spans="1:72" s="1" customFormat="1" ht="24" customHeight="1">
      <c r="A214" s="16" t="s">
        <v>380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381</v>
      </c>
      <c r="N214" s="23"/>
      <c r="O214" s="23"/>
      <c r="P214" s="23" t="s">
        <v>73</v>
      </c>
      <c r="Q214" s="23"/>
      <c r="R214" s="23"/>
      <c r="S214" s="23"/>
      <c r="T214" s="23"/>
      <c r="U214" s="25" t="s">
        <v>74</v>
      </c>
      <c r="V214" s="25"/>
      <c r="W214" s="25"/>
      <c r="X214" s="25" t="s">
        <v>74</v>
      </c>
      <c r="Y214" s="25"/>
      <c r="Z214" s="25"/>
      <c r="AA214" s="25"/>
      <c r="AB214" s="25" t="s">
        <v>74</v>
      </c>
      <c r="AC214" s="25"/>
      <c r="AD214" s="25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5" t="s">
        <v>74</v>
      </c>
      <c r="AX214" s="25"/>
      <c r="AY214" s="25" t="s">
        <v>74</v>
      </c>
      <c r="AZ214" s="25"/>
      <c r="BA214" s="25" t="s">
        <v>74</v>
      </c>
      <c r="BB214" s="25"/>
      <c r="BC214" s="25"/>
      <c r="BD214" s="25" t="s">
        <v>74</v>
      </c>
      <c r="BE214" s="25"/>
      <c r="BF214" s="25" t="s">
        <v>74</v>
      </c>
      <c r="BG214" s="25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5" t="s">
        <v>74</v>
      </c>
      <c r="BR214" s="25"/>
      <c r="BS214" s="25"/>
      <c r="BT214" s="27" t="s">
        <v>74</v>
      </c>
    </row>
    <row r="215" spans="1:72" s="1" customFormat="1" ht="13.5" customHeight="1">
      <c r="A215" s="16" t="s">
        <v>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381</v>
      </c>
      <c r="N215" s="23"/>
      <c r="O215" s="23"/>
      <c r="P215" s="23" t="s">
        <v>9</v>
      </c>
      <c r="Q215" s="23"/>
      <c r="R215" s="23"/>
      <c r="S215" s="23"/>
      <c r="T215" s="23"/>
      <c r="U215" s="25" t="s">
        <v>74</v>
      </c>
      <c r="V215" s="25"/>
      <c r="W215" s="25"/>
      <c r="X215" s="25" t="s">
        <v>74</v>
      </c>
      <c r="Y215" s="25"/>
      <c r="Z215" s="25"/>
      <c r="AA215" s="25"/>
      <c r="AB215" s="25" t="s">
        <v>74</v>
      </c>
      <c r="AC215" s="25"/>
      <c r="AD215" s="25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5" t="s">
        <v>74</v>
      </c>
      <c r="AX215" s="25"/>
      <c r="AY215" s="25" t="s">
        <v>74</v>
      </c>
      <c r="AZ215" s="25"/>
      <c r="BA215" s="25" t="s">
        <v>74</v>
      </c>
      <c r="BB215" s="25"/>
      <c r="BC215" s="25"/>
      <c r="BD215" s="25" t="s">
        <v>74</v>
      </c>
      <c r="BE215" s="25"/>
      <c r="BF215" s="25" t="s">
        <v>74</v>
      </c>
      <c r="BG215" s="25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5" t="s">
        <v>74</v>
      </c>
      <c r="BR215" s="25"/>
      <c r="BS215" s="25"/>
      <c r="BT215" s="27" t="s">
        <v>74</v>
      </c>
    </row>
    <row r="216" spans="1:72" s="1" customFormat="1" ht="13.5" customHeight="1">
      <c r="A216" s="16" t="s">
        <v>382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383</v>
      </c>
      <c r="N216" s="23"/>
      <c r="O216" s="23"/>
      <c r="P216" s="23" t="s">
        <v>384</v>
      </c>
      <c r="Q216" s="23"/>
      <c r="R216" s="23"/>
      <c r="S216" s="23"/>
      <c r="T216" s="23"/>
      <c r="U216" s="24">
        <f>42473507.87</f>
        <v>42473507.87</v>
      </c>
      <c r="V216" s="24"/>
      <c r="W216" s="24"/>
      <c r="X216" s="25" t="s">
        <v>74</v>
      </c>
      <c r="Y216" s="25"/>
      <c r="Z216" s="25"/>
      <c r="AA216" s="25"/>
      <c r="AB216" s="24">
        <f>42473507.87</f>
        <v>42473507.87</v>
      </c>
      <c r="AC216" s="24"/>
      <c r="AD216" s="24"/>
      <c r="AE216" s="28">
        <f>-34064359</f>
        <v>-34064359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8409148.87</f>
        <v>8409148.87</v>
      </c>
      <c r="AX216" s="24"/>
      <c r="AY216" s="25" t="s">
        <v>74</v>
      </c>
      <c r="AZ216" s="25"/>
      <c r="BA216" s="24">
        <f>4574872.22</f>
        <v>4574872.22</v>
      </c>
      <c r="BB216" s="24"/>
      <c r="BC216" s="24"/>
      <c r="BD216" s="25" t="s">
        <v>74</v>
      </c>
      <c r="BE216" s="25"/>
      <c r="BF216" s="24">
        <f>4574872.22</f>
        <v>4574872.22</v>
      </c>
      <c r="BG216" s="24"/>
      <c r="BH216" s="28">
        <f>-4385201.35</f>
        <v>-4385201.35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189670.87</f>
        <v>189670.87</v>
      </c>
      <c r="BR216" s="24"/>
      <c r="BS216" s="24"/>
      <c r="BT216" s="27" t="s">
        <v>74</v>
      </c>
    </row>
    <row r="217" spans="1:72" s="1" customFormat="1" ht="13.5" customHeight="1">
      <c r="A217" s="16" t="s">
        <v>385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386</v>
      </c>
      <c r="N217" s="23"/>
      <c r="O217" s="23"/>
      <c r="P217" s="23" t="s">
        <v>387</v>
      </c>
      <c r="Q217" s="23"/>
      <c r="R217" s="23"/>
      <c r="S217" s="23"/>
      <c r="T217" s="23"/>
      <c r="U217" s="24">
        <f>-13925000</f>
        <v>-13925000</v>
      </c>
      <c r="V217" s="24"/>
      <c r="W217" s="24"/>
      <c r="X217" s="25" t="s">
        <v>74</v>
      </c>
      <c r="Y217" s="25"/>
      <c r="Z217" s="25"/>
      <c r="AA217" s="25"/>
      <c r="AB217" s="24">
        <f>-13925000</f>
        <v>-13925000</v>
      </c>
      <c r="AC217" s="24"/>
      <c r="AD217" s="24"/>
      <c r="AE217" s="28">
        <f>-34226453</f>
        <v>-34226453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-48151453</f>
        <v>-48151453</v>
      </c>
      <c r="AX217" s="24"/>
      <c r="AY217" s="25" t="s">
        <v>74</v>
      </c>
      <c r="AZ217" s="25"/>
      <c r="BA217" s="24">
        <f>-2924358.59</f>
        <v>-2924358.59</v>
      </c>
      <c r="BB217" s="24"/>
      <c r="BC217" s="24"/>
      <c r="BD217" s="25" t="s">
        <v>74</v>
      </c>
      <c r="BE217" s="25"/>
      <c r="BF217" s="24">
        <f>-2924358.59</f>
        <v>-2924358.59</v>
      </c>
      <c r="BG217" s="24"/>
      <c r="BH217" s="28">
        <f>-4413374.35</f>
        <v>-4413374.35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-7337732.94</f>
        <v>-7337732.94</v>
      </c>
      <c r="BR217" s="24"/>
      <c r="BS217" s="24"/>
      <c r="BT217" s="27" t="s">
        <v>74</v>
      </c>
    </row>
    <row r="218" spans="1:72" s="1" customFormat="1" ht="13.5" customHeight="1">
      <c r="A218" s="16" t="s">
        <v>388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386</v>
      </c>
      <c r="N218" s="23"/>
      <c r="O218" s="23"/>
      <c r="P218" s="23" t="s">
        <v>389</v>
      </c>
      <c r="Q218" s="23"/>
      <c r="R218" s="23"/>
      <c r="S218" s="23"/>
      <c r="T218" s="23"/>
      <c r="U218" s="24">
        <f>-13925000</f>
        <v>-13925000</v>
      </c>
      <c r="V218" s="24"/>
      <c r="W218" s="24"/>
      <c r="X218" s="25" t="s">
        <v>74</v>
      </c>
      <c r="Y218" s="25"/>
      <c r="Z218" s="25"/>
      <c r="AA218" s="25"/>
      <c r="AB218" s="24">
        <f>-13925000</f>
        <v>-13925000</v>
      </c>
      <c r="AC218" s="24"/>
      <c r="AD218" s="24"/>
      <c r="AE218" s="28">
        <f>-34226453</f>
        <v>-34226453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-48151453</f>
        <v>-48151453</v>
      </c>
      <c r="AX218" s="24"/>
      <c r="AY218" s="25" t="s">
        <v>74</v>
      </c>
      <c r="AZ218" s="25"/>
      <c r="BA218" s="24">
        <f>-2924358.59</f>
        <v>-2924358.59</v>
      </c>
      <c r="BB218" s="24"/>
      <c r="BC218" s="24"/>
      <c r="BD218" s="25" t="s">
        <v>74</v>
      </c>
      <c r="BE218" s="25"/>
      <c r="BF218" s="24">
        <f>-2924358.59</f>
        <v>-2924358.59</v>
      </c>
      <c r="BG218" s="24"/>
      <c r="BH218" s="28">
        <f>-4413374.35</f>
        <v>-4413374.35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-7337732.94</f>
        <v>-7337732.94</v>
      </c>
      <c r="BR218" s="24"/>
      <c r="BS218" s="24"/>
      <c r="BT218" s="27" t="s">
        <v>74</v>
      </c>
    </row>
    <row r="219" spans="1:72" s="1" customFormat="1" ht="24" customHeight="1">
      <c r="A219" s="16" t="s">
        <v>390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386</v>
      </c>
      <c r="N219" s="23"/>
      <c r="O219" s="23"/>
      <c r="P219" s="23" t="s">
        <v>391</v>
      </c>
      <c r="Q219" s="23"/>
      <c r="R219" s="23"/>
      <c r="S219" s="23"/>
      <c r="T219" s="23"/>
      <c r="U219" s="24">
        <f>-13925000</f>
        <v>-13925000</v>
      </c>
      <c r="V219" s="24"/>
      <c r="W219" s="24"/>
      <c r="X219" s="25" t="s">
        <v>74</v>
      </c>
      <c r="Y219" s="25"/>
      <c r="Z219" s="25"/>
      <c r="AA219" s="25"/>
      <c r="AB219" s="24">
        <f>-13925000</f>
        <v>-13925000</v>
      </c>
      <c r="AC219" s="24"/>
      <c r="AD219" s="24"/>
      <c r="AE219" s="28">
        <f>-34226453</f>
        <v>-34226453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-48151453</f>
        <v>-48151453</v>
      </c>
      <c r="AX219" s="24"/>
      <c r="AY219" s="25" t="s">
        <v>74</v>
      </c>
      <c r="AZ219" s="25"/>
      <c r="BA219" s="24">
        <f>-2924358.59</f>
        <v>-2924358.59</v>
      </c>
      <c r="BB219" s="24"/>
      <c r="BC219" s="24"/>
      <c r="BD219" s="25" t="s">
        <v>74</v>
      </c>
      <c r="BE219" s="25"/>
      <c r="BF219" s="24">
        <f>-2924358.59</f>
        <v>-2924358.59</v>
      </c>
      <c r="BG219" s="24"/>
      <c r="BH219" s="28">
        <f>-4413374.35</f>
        <v>-4413374.35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4">
        <f>-7337732.94</f>
        <v>-7337732.94</v>
      </c>
      <c r="BR219" s="24"/>
      <c r="BS219" s="24"/>
      <c r="BT219" s="27" t="s">
        <v>74</v>
      </c>
    </row>
    <row r="220" spans="1:72" s="1" customFormat="1" ht="24" customHeight="1">
      <c r="A220" s="16" t="s">
        <v>392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386</v>
      </c>
      <c r="N220" s="23"/>
      <c r="O220" s="23"/>
      <c r="P220" s="23" t="s">
        <v>393</v>
      </c>
      <c r="Q220" s="23"/>
      <c r="R220" s="23"/>
      <c r="S220" s="23"/>
      <c r="T220" s="23"/>
      <c r="U220" s="24">
        <f>-13925000</f>
        <v>-13925000</v>
      </c>
      <c r="V220" s="24"/>
      <c r="W220" s="24"/>
      <c r="X220" s="25" t="s">
        <v>74</v>
      </c>
      <c r="Y220" s="25"/>
      <c r="Z220" s="25"/>
      <c r="AA220" s="25"/>
      <c r="AB220" s="24">
        <f>-13925000</f>
        <v>-13925000</v>
      </c>
      <c r="AC220" s="24"/>
      <c r="AD220" s="24"/>
      <c r="AE220" s="28">
        <f>-34226453</f>
        <v>-34226453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-48151453</f>
        <v>-48151453</v>
      </c>
      <c r="AX220" s="24"/>
      <c r="AY220" s="25" t="s">
        <v>74</v>
      </c>
      <c r="AZ220" s="25"/>
      <c r="BA220" s="24">
        <f>-2924358.59</f>
        <v>-2924358.59</v>
      </c>
      <c r="BB220" s="24"/>
      <c r="BC220" s="24"/>
      <c r="BD220" s="25" t="s">
        <v>74</v>
      </c>
      <c r="BE220" s="25"/>
      <c r="BF220" s="24">
        <f>-2924358.59</f>
        <v>-2924358.59</v>
      </c>
      <c r="BG220" s="24"/>
      <c r="BH220" s="28">
        <f>-4413374.35</f>
        <v>-4413374.35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4">
        <f>-7337732.94</f>
        <v>-7337732.94</v>
      </c>
      <c r="BR220" s="24"/>
      <c r="BS220" s="24"/>
      <c r="BT220" s="27" t="s">
        <v>74</v>
      </c>
    </row>
    <row r="221" spans="1:72" s="1" customFormat="1" ht="13.5" customHeight="1">
      <c r="A221" s="16" t="s">
        <v>394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395</v>
      </c>
      <c r="N221" s="23"/>
      <c r="O221" s="23"/>
      <c r="P221" s="23" t="s">
        <v>396</v>
      </c>
      <c r="Q221" s="23"/>
      <c r="R221" s="23"/>
      <c r="S221" s="23"/>
      <c r="T221" s="23"/>
      <c r="U221" s="24">
        <f>56398507.87</f>
        <v>56398507.87</v>
      </c>
      <c r="V221" s="24"/>
      <c r="W221" s="24"/>
      <c r="X221" s="25" t="s">
        <v>74</v>
      </c>
      <c r="Y221" s="25"/>
      <c r="Z221" s="25"/>
      <c r="AA221" s="25"/>
      <c r="AB221" s="24">
        <f>56398507.87</f>
        <v>56398507.87</v>
      </c>
      <c r="AC221" s="24"/>
      <c r="AD221" s="24"/>
      <c r="AE221" s="28">
        <f>162094</f>
        <v>162094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56560601.87</f>
        <v>56560601.87</v>
      </c>
      <c r="AX221" s="24"/>
      <c r="AY221" s="25" t="s">
        <v>74</v>
      </c>
      <c r="AZ221" s="25"/>
      <c r="BA221" s="24">
        <f>7499230.81</f>
        <v>7499230.81</v>
      </c>
      <c r="BB221" s="24"/>
      <c r="BC221" s="24"/>
      <c r="BD221" s="25" t="s">
        <v>74</v>
      </c>
      <c r="BE221" s="25"/>
      <c r="BF221" s="24">
        <f>7499230.81</f>
        <v>7499230.81</v>
      </c>
      <c r="BG221" s="24"/>
      <c r="BH221" s="28">
        <f>28173</f>
        <v>28173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4">
        <f>7527403.81</f>
        <v>7527403.81</v>
      </c>
      <c r="BR221" s="24"/>
      <c r="BS221" s="24"/>
      <c r="BT221" s="27" t="s">
        <v>74</v>
      </c>
    </row>
    <row r="222" spans="1:72" s="1" customFormat="1" ht="13.5" customHeight="1">
      <c r="A222" s="16" t="s">
        <v>397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395</v>
      </c>
      <c r="N222" s="23"/>
      <c r="O222" s="23"/>
      <c r="P222" s="23" t="s">
        <v>398</v>
      </c>
      <c r="Q222" s="23"/>
      <c r="R222" s="23"/>
      <c r="S222" s="23"/>
      <c r="T222" s="23"/>
      <c r="U222" s="24">
        <f>56398507.87</f>
        <v>56398507.87</v>
      </c>
      <c r="V222" s="24"/>
      <c r="W222" s="24"/>
      <c r="X222" s="25" t="s">
        <v>74</v>
      </c>
      <c r="Y222" s="25"/>
      <c r="Z222" s="25"/>
      <c r="AA222" s="25"/>
      <c r="AB222" s="24">
        <f>56398507.87</f>
        <v>56398507.87</v>
      </c>
      <c r="AC222" s="24"/>
      <c r="AD222" s="24"/>
      <c r="AE222" s="28">
        <f>162094</f>
        <v>162094</v>
      </c>
      <c r="AF222" s="26" t="s">
        <v>74</v>
      </c>
      <c r="AG222" s="25" t="s">
        <v>74</v>
      </c>
      <c r="AH222" s="25"/>
      <c r="AI222" s="25"/>
      <c r="AJ222" s="25" t="s">
        <v>74</v>
      </c>
      <c r="AK222" s="25"/>
      <c r="AL222" s="25" t="s">
        <v>74</v>
      </c>
      <c r="AM222" s="25"/>
      <c r="AN222" s="25" t="s">
        <v>74</v>
      </c>
      <c r="AO222" s="25"/>
      <c r="AP222" s="25" t="s">
        <v>74</v>
      </c>
      <c r="AQ222" s="25"/>
      <c r="AR222" s="25"/>
      <c r="AS222" s="26" t="s">
        <v>74</v>
      </c>
      <c r="AT222" s="25" t="s">
        <v>74</v>
      </c>
      <c r="AU222" s="25"/>
      <c r="AV222" s="25"/>
      <c r="AW222" s="24">
        <f>56560601.87</f>
        <v>56560601.87</v>
      </c>
      <c r="AX222" s="24"/>
      <c r="AY222" s="25" t="s">
        <v>74</v>
      </c>
      <c r="AZ222" s="25"/>
      <c r="BA222" s="24">
        <f>7499230.81</f>
        <v>7499230.81</v>
      </c>
      <c r="BB222" s="24"/>
      <c r="BC222" s="24"/>
      <c r="BD222" s="25" t="s">
        <v>74</v>
      </c>
      <c r="BE222" s="25"/>
      <c r="BF222" s="24">
        <f>7499230.81</f>
        <v>7499230.81</v>
      </c>
      <c r="BG222" s="24"/>
      <c r="BH222" s="28">
        <f>28173</f>
        <v>28173</v>
      </c>
      <c r="BI222" s="26" t="s">
        <v>74</v>
      </c>
      <c r="BJ222" s="26" t="s">
        <v>74</v>
      </c>
      <c r="BK222" s="26" t="s">
        <v>74</v>
      </c>
      <c r="BL222" s="26" t="s">
        <v>74</v>
      </c>
      <c r="BM222" s="26" t="s">
        <v>74</v>
      </c>
      <c r="BN222" s="26" t="s">
        <v>74</v>
      </c>
      <c r="BO222" s="26" t="s">
        <v>74</v>
      </c>
      <c r="BP222" s="26" t="s">
        <v>74</v>
      </c>
      <c r="BQ222" s="24">
        <f>7527403.81</f>
        <v>7527403.81</v>
      </c>
      <c r="BR222" s="24"/>
      <c r="BS222" s="24"/>
      <c r="BT222" s="27" t="s">
        <v>74</v>
      </c>
    </row>
    <row r="223" spans="1:72" s="1" customFormat="1" ht="24" customHeight="1">
      <c r="A223" s="16" t="s">
        <v>399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395</v>
      </c>
      <c r="N223" s="23"/>
      <c r="O223" s="23"/>
      <c r="P223" s="23" t="s">
        <v>400</v>
      </c>
      <c r="Q223" s="23"/>
      <c r="R223" s="23"/>
      <c r="S223" s="23"/>
      <c r="T223" s="23"/>
      <c r="U223" s="24">
        <f>56398507.87</f>
        <v>56398507.87</v>
      </c>
      <c r="V223" s="24"/>
      <c r="W223" s="24"/>
      <c r="X223" s="25" t="s">
        <v>74</v>
      </c>
      <c r="Y223" s="25"/>
      <c r="Z223" s="25"/>
      <c r="AA223" s="25"/>
      <c r="AB223" s="24">
        <f>56398507.87</f>
        <v>56398507.87</v>
      </c>
      <c r="AC223" s="24"/>
      <c r="AD223" s="24"/>
      <c r="AE223" s="28">
        <f>162094</f>
        <v>162094</v>
      </c>
      <c r="AF223" s="26" t="s">
        <v>74</v>
      </c>
      <c r="AG223" s="25" t="s">
        <v>74</v>
      </c>
      <c r="AH223" s="25"/>
      <c r="AI223" s="25"/>
      <c r="AJ223" s="25" t="s">
        <v>74</v>
      </c>
      <c r="AK223" s="25"/>
      <c r="AL223" s="25" t="s">
        <v>74</v>
      </c>
      <c r="AM223" s="25"/>
      <c r="AN223" s="25" t="s">
        <v>74</v>
      </c>
      <c r="AO223" s="25"/>
      <c r="AP223" s="25" t="s">
        <v>74</v>
      </c>
      <c r="AQ223" s="25"/>
      <c r="AR223" s="25"/>
      <c r="AS223" s="26" t="s">
        <v>74</v>
      </c>
      <c r="AT223" s="25" t="s">
        <v>74</v>
      </c>
      <c r="AU223" s="25"/>
      <c r="AV223" s="25"/>
      <c r="AW223" s="24">
        <f>56560601.87</f>
        <v>56560601.87</v>
      </c>
      <c r="AX223" s="24"/>
      <c r="AY223" s="25" t="s">
        <v>74</v>
      </c>
      <c r="AZ223" s="25"/>
      <c r="BA223" s="24">
        <f>7499230.81</f>
        <v>7499230.81</v>
      </c>
      <c r="BB223" s="24"/>
      <c r="BC223" s="24"/>
      <c r="BD223" s="25" t="s">
        <v>74</v>
      </c>
      <c r="BE223" s="25"/>
      <c r="BF223" s="24">
        <f>7499230.81</f>
        <v>7499230.81</v>
      </c>
      <c r="BG223" s="24"/>
      <c r="BH223" s="28">
        <f>28173</f>
        <v>28173</v>
      </c>
      <c r="BI223" s="26" t="s">
        <v>74</v>
      </c>
      <c r="BJ223" s="26" t="s">
        <v>74</v>
      </c>
      <c r="BK223" s="26" t="s">
        <v>74</v>
      </c>
      <c r="BL223" s="26" t="s">
        <v>74</v>
      </c>
      <c r="BM223" s="26" t="s">
        <v>74</v>
      </c>
      <c r="BN223" s="26" t="s">
        <v>74</v>
      </c>
      <c r="BO223" s="26" t="s">
        <v>74</v>
      </c>
      <c r="BP223" s="26" t="s">
        <v>74</v>
      </c>
      <c r="BQ223" s="24">
        <f>7527403.81</f>
        <v>7527403.81</v>
      </c>
      <c r="BR223" s="24"/>
      <c r="BS223" s="24"/>
      <c r="BT223" s="27" t="s">
        <v>74</v>
      </c>
    </row>
    <row r="224" spans="1:72" s="1" customFormat="1" ht="24" customHeight="1">
      <c r="A224" s="16" t="s">
        <v>401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395</v>
      </c>
      <c r="N224" s="23"/>
      <c r="O224" s="23"/>
      <c r="P224" s="23" t="s">
        <v>402</v>
      </c>
      <c r="Q224" s="23"/>
      <c r="R224" s="23"/>
      <c r="S224" s="23"/>
      <c r="T224" s="23"/>
      <c r="U224" s="24">
        <f>56398507.87</f>
        <v>56398507.87</v>
      </c>
      <c r="V224" s="24"/>
      <c r="W224" s="24"/>
      <c r="X224" s="25" t="s">
        <v>74</v>
      </c>
      <c r="Y224" s="25"/>
      <c r="Z224" s="25"/>
      <c r="AA224" s="25"/>
      <c r="AB224" s="24">
        <f>56398507.87</f>
        <v>56398507.87</v>
      </c>
      <c r="AC224" s="24"/>
      <c r="AD224" s="24"/>
      <c r="AE224" s="28">
        <f>162094</f>
        <v>162094</v>
      </c>
      <c r="AF224" s="26" t="s">
        <v>74</v>
      </c>
      <c r="AG224" s="25" t="s">
        <v>74</v>
      </c>
      <c r="AH224" s="25"/>
      <c r="AI224" s="25"/>
      <c r="AJ224" s="25" t="s">
        <v>74</v>
      </c>
      <c r="AK224" s="25"/>
      <c r="AL224" s="25" t="s">
        <v>74</v>
      </c>
      <c r="AM224" s="25"/>
      <c r="AN224" s="25" t="s">
        <v>74</v>
      </c>
      <c r="AO224" s="25"/>
      <c r="AP224" s="25" t="s">
        <v>74</v>
      </c>
      <c r="AQ224" s="25"/>
      <c r="AR224" s="25"/>
      <c r="AS224" s="26" t="s">
        <v>74</v>
      </c>
      <c r="AT224" s="25" t="s">
        <v>74</v>
      </c>
      <c r="AU224" s="25"/>
      <c r="AV224" s="25"/>
      <c r="AW224" s="24">
        <f>56560601.87</f>
        <v>56560601.87</v>
      </c>
      <c r="AX224" s="24"/>
      <c r="AY224" s="25" t="s">
        <v>74</v>
      </c>
      <c r="AZ224" s="25"/>
      <c r="BA224" s="24">
        <f>7499230.81</f>
        <v>7499230.81</v>
      </c>
      <c r="BB224" s="24"/>
      <c r="BC224" s="24"/>
      <c r="BD224" s="25" t="s">
        <v>74</v>
      </c>
      <c r="BE224" s="25"/>
      <c r="BF224" s="24">
        <f>7499230.81</f>
        <v>7499230.81</v>
      </c>
      <c r="BG224" s="24"/>
      <c r="BH224" s="28">
        <f>28173</f>
        <v>28173</v>
      </c>
      <c r="BI224" s="26" t="s">
        <v>74</v>
      </c>
      <c r="BJ224" s="26" t="s">
        <v>74</v>
      </c>
      <c r="BK224" s="26" t="s">
        <v>74</v>
      </c>
      <c r="BL224" s="26" t="s">
        <v>74</v>
      </c>
      <c r="BM224" s="26" t="s">
        <v>74</v>
      </c>
      <c r="BN224" s="26" t="s">
        <v>74</v>
      </c>
      <c r="BO224" s="26" t="s">
        <v>74</v>
      </c>
      <c r="BP224" s="26" t="s">
        <v>74</v>
      </c>
      <c r="BQ224" s="24">
        <f>7527403.81</f>
        <v>7527403.81</v>
      </c>
      <c r="BR224" s="24"/>
      <c r="BS224" s="24"/>
      <c r="BT224" s="27" t="s">
        <v>74</v>
      </c>
    </row>
    <row r="225" spans="1:72" s="1" customFormat="1" ht="13.5" customHeight="1">
      <c r="A225" s="29" t="s">
        <v>9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30" t="s">
        <v>9</v>
      </c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</row>
    <row r="226" spans="1:72" s="1" customFormat="1" ht="15.75" customHeight="1">
      <c r="A226" s="12" t="s">
        <v>403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</row>
    <row r="227" spans="1:72" s="1" customFormat="1" ht="13.5" customHeight="1">
      <c r="A227" s="39" t="s">
        <v>404</v>
      </c>
      <c r="B227" s="3" t="s">
        <v>21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 t="s">
        <v>22</v>
      </c>
      <c r="W227" s="3"/>
      <c r="X227" s="3"/>
      <c r="Y227" s="40" t="s">
        <v>405</v>
      </c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3" t="s">
        <v>408</v>
      </c>
      <c r="BF227" s="3"/>
      <c r="BG227" s="29" t="s">
        <v>9</v>
      </c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</row>
    <row r="228" spans="1:72" s="1" customFormat="1" ht="66" customHeight="1">
      <c r="A228" s="3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 t="s">
        <v>29</v>
      </c>
      <c r="Z228" s="3"/>
      <c r="AA228" s="3"/>
      <c r="AB228" s="3"/>
      <c r="AC228" s="3" t="s">
        <v>30</v>
      </c>
      <c r="AD228" s="3"/>
      <c r="AE228" s="3"/>
      <c r="AF228" s="3" t="s">
        <v>31</v>
      </c>
      <c r="AG228" s="3"/>
      <c r="AH228" s="3"/>
      <c r="AI228" s="3" t="s">
        <v>32</v>
      </c>
      <c r="AJ228" s="3"/>
      <c r="AK228" s="3" t="s">
        <v>33</v>
      </c>
      <c r="AL228" s="3"/>
      <c r="AM228" s="3"/>
      <c r="AN228" s="3"/>
      <c r="AO228" s="3" t="s">
        <v>34</v>
      </c>
      <c r="AP228" s="3"/>
      <c r="AQ228" s="3"/>
      <c r="AR228" s="3" t="s">
        <v>35</v>
      </c>
      <c r="AS228" s="3"/>
      <c r="AT228" s="3"/>
      <c r="AU228" s="3" t="s">
        <v>36</v>
      </c>
      <c r="AV228" s="3"/>
      <c r="AW228" s="3"/>
      <c r="AX228" s="3" t="s">
        <v>406</v>
      </c>
      <c r="AY228" s="3"/>
      <c r="AZ228" s="3" t="s">
        <v>407</v>
      </c>
      <c r="BA228" s="3"/>
      <c r="BB228" s="3"/>
      <c r="BC228" s="3"/>
      <c r="BD228" s="3"/>
      <c r="BE228" s="3"/>
      <c r="BF228" s="3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</row>
    <row r="229" spans="1:72" s="1" customFormat="1" ht="13.5" customHeight="1">
      <c r="A229" s="39"/>
      <c r="B229" s="23" t="s">
        <v>40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 t="s">
        <v>41</v>
      </c>
      <c r="W229" s="23"/>
      <c r="X229" s="23"/>
      <c r="Y229" s="23" t="s">
        <v>42</v>
      </c>
      <c r="Z229" s="23"/>
      <c r="AA229" s="23"/>
      <c r="AB229" s="23"/>
      <c r="AC229" s="23" t="s">
        <v>43</v>
      </c>
      <c r="AD229" s="23"/>
      <c r="AE229" s="23"/>
      <c r="AF229" s="23" t="s">
        <v>44</v>
      </c>
      <c r="AG229" s="23"/>
      <c r="AH229" s="23"/>
      <c r="AI229" s="23" t="s">
        <v>45</v>
      </c>
      <c r="AJ229" s="23"/>
      <c r="AK229" s="23" t="s">
        <v>46</v>
      </c>
      <c r="AL229" s="23"/>
      <c r="AM229" s="23"/>
      <c r="AN229" s="23"/>
      <c r="AO229" s="23" t="s">
        <v>47</v>
      </c>
      <c r="AP229" s="23"/>
      <c r="AQ229" s="23"/>
      <c r="AR229" s="23" t="s">
        <v>48</v>
      </c>
      <c r="AS229" s="23"/>
      <c r="AT229" s="23"/>
      <c r="AU229" s="23" t="s">
        <v>49</v>
      </c>
      <c r="AV229" s="23"/>
      <c r="AW229" s="23"/>
      <c r="AX229" s="23" t="s">
        <v>50</v>
      </c>
      <c r="AY229" s="23"/>
      <c r="AZ229" s="23" t="s">
        <v>51</v>
      </c>
      <c r="BA229" s="23"/>
      <c r="BB229" s="23"/>
      <c r="BC229" s="23"/>
      <c r="BD229" s="23"/>
      <c r="BE229" s="23" t="s">
        <v>52</v>
      </c>
      <c r="BF229" s="23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</row>
    <row r="230" spans="1:72" s="1" customFormat="1" ht="13.5" customHeight="1">
      <c r="A230" s="39"/>
      <c r="B230" s="41" t="s">
        <v>409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2" t="s">
        <v>410</v>
      </c>
      <c r="W230" s="42"/>
      <c r="X230" s="42"/>
      <c r="Y230" s="19" t="s">
        <v>74</v>
      </c>
      <c r="Z230" s="19"/>
      <c r="AA230" s="19"/>
      <c r="AB230" s="19"/>
      <c r="AC230" s="19" t="s">
        <v>74</v>
      </c>
      <c r="AD230" s="19"/>
      <c r="AE230" s="19"/>
      <c r="AF230" s="19" t="s">
        <v>74</v>
      </c>
      <c r="AG230" s="19"/>
      <c r="AH230" s="19"/>
      <c r="AI230" s="19" t="s">
        <v>74</v>
      </c>
      <c r="AJ230" s="19"/>
      <c r="AK230" s="19" t="s">
        <v>74</v>
      </c>
      <c r="AL230" s="19"/>
      <c r="AM230" s="19"/>
      <c r="AN230" s="19"/>
      <c r="AO230" s="19" t="s">
        <v>74</v>
      </c>
      <c r="AP230" s="19"/>
      <c r="AQ230" s="19"/>
      <c r="AR230" s="18">
        <f>28173</f>
        <v>28173</v>
      </c>
      <c r="AS230" s="18"/>
      <c r="AT230" s="18"/>
      <c r="AU230" s="19" t="s">
        <v>74</v>
      </c>
      <c r="AV230" s="19"/>
      <c r="AW230" s="19"/>
      <c r="AX230" s="19" t="s">
        <v>74</v>
      </c>
      <c r="AY230" s="19"/>
      <c r="AZ230" s="19" t="s">
        <v>74</v>
      </c>
      <c r="BA230" s="19"/>
      <c r="BB230" s="19"/>
      <c r="BC230" s="19"/>
      <c r="BD230" s="19"/>
      <c r="BE230" s="43">
        <f>28173</f>
        <v>28173</v>
      </c>
      <c r="BF230" s="43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</row>
    <row r="231" spans="1:72" s="1" customFormat="1" ht="13.5" customHeight="1">
      <c r="A231" s="39"/>
      <c r="B231" s="44" t="s">
        <v>411</v>
      </c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5" t="s">
        <v>412</v>
      </c>
      <c r="W231" s="45"/>
      <c r="X231" s="45"/>
      <c r="Y231" s="25" t="s">
        <v>74</v>
      </c>
      <c r="Z231" s="25"/>
      <c r="AA231" s="25"/>
      <c r="AB231" s="25"/>
      <c r="AC231" s="25" t="s">
        <v>74</v>
      </c>
      <c r="AD231" s="25"/>
      <c r="AE231" s="25"/>
      <c r="AF231" s="25" t="s">
        <v>74</v>
      </c>
      <c r="AG231" s="25"/>
      <c r="AH231" s="25"/>
      <c r="AI231" s="25" t="s">
        <v>74</v>
      </c>
      <c r="AJ231" s="25"/>
      <c r="AK231" s="25" t="s">
        <v>74</v>
      </c>
      <c r="AL231" s="25"/>
      <c r="AM231" s="25"/>
      <c r="AN231" s="25"/>
      <c r="AO231" s="25" t="s">
        <v>74</v>
      </c>
      <c r="AP231" s="25"/>
      <c r="AQ231" s="25"/>
      <c r="AR231" s="25" t="s">
        <v>74</v>
      </c>
      <c r="AS231" s="25"/>
      <c r="AT231" s="25"/>
      <c r="AU231" s="25" t="s">
        <v>74</v>
      </c>
      <c r="AV231" s="25"/>
      <c r="AW231" s="25"/>
      <c r="AX231" s="25" t="s">
        <v>74</v>
      </c>
      <c r="AY231" s="25"/>
      <c r="AZ231" s="25" t="s">
        <v>74</v>
      </c>
      <c r="BA231" s="25"/>
      <c r="BB231" s="25"/>
      <c r="BC231" s="25"/>
      <c r="BD231" s="25"/>
      <c r="BE231" s="46" t="s">
        <v>74</v>
      </c>
      <c r="BF231" s="46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</row>
    <row r="232" spans="1:72" s="1" customFormat="1" ht="13.5" customHeight="1">
      <c r="A232" s="39"/>
      <c r="B232" s="47" t="s">
        <v>413</v>
      </c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8" t="s">
        <v>9</v>
      </c>
      <c r="W232" s="48"/>
      <c r="X232" s="48"/>
      <c r="Y232" s="49" t="s">
        <v>9</v>
      </c>
      <c r="Z232" s="49"/>
      <c r="AA232" s="49"/>
      <c r="AB232" s="49"/>
      <c r="AC232" s="49" t="s">
        <v>9</v>
      </c>
      <c r="AD232" s="49"/>
      <c r="AE232" s="49"/>
      <c r="AF232" s="49" t="s">
        <v>9</v>
      </c>
      <c r="AG232" s="49"/>
      <c r="AH232" s="49"/>
      <c r="AI232" s="49" t="s">
        <v>9</v>
      </c>
      <c r="AJ232" s="49"/>
      <c r="AK232" s="49" t="s">
        <v>9</v>
      </c>
      <c r="AL232" s="49"/>
      <c r="AM232" s="49"/>
      <c r="AN232" s="49"/>
      <c r="AO232" s="49" t="s">
        <v>9</v>
      </c>
      <c r="AP232" s="49"/>
      <c r="AQ232" s="49"/>
      <c r="AR232" s="49" t="s">
        <v>9</v>
      </c>
      <c r="AS232" s="49"/>
      <c r="AT232" s="49"/>
      <c r="AU232" s="49" t="s">
        <v>9</v>
      </c>
      <c r="AV232" s="49"/>
      <c r="AW232" s="49"/>
      <c r="AX232" s="49" t="s">
        <v>9</v>
      </c>
      <c r="AY232" s="49"/>
      <c r="AZ232" s="49" t="s">
        <v>9</v>
      </c>
      <c r="BA232" s="49"/>
      <c r="BB232" s="49"/>
      <c r="BC232" s="49"/>
      <c r="BD232" s="49"/>
      <c r="BE232" s="50" t="s">
        <v>9</v>
      </c>
      <c r="BF232" s="50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</row>
    <row r="233" spans="1:72" s="1" customFormat="1" ht="13.5" customHeight="1">
      <c r="A233" s="39"/>
      <c r="B233" s="51" t="s">
        <v>9</v>
      </c>
      <c r="C233" s="52" t="s">
        <v>414</v>
      </c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3" t="s">
        <v>415</v>
      </c>
      <c r="W233" s="53"/>
      <c r="X233" s="53"/>
      <c r="Y233" s="54" t="s">
        <v>74</v>
      </c>
      <c r="Z233" s="54"/>
      <c r="AA233" s="54"/>
      <c r="AB233" s="54"/>
      <c r="AC233" s="54" t="s">
        <v>74</v>
      </c>
      <c r="AD233" s="54"/>
      <c r="AE233" s="54"/>
      <c r="AF233" s="54" t="s">
        <v>74</v>
      </c>
      <c r="AG233" s="54"/>
      <c r="AH233" s="54"/>
      <c r="AI233" s="54" t="s">
        <v>74</v>
      </c>
      <c r="AJ233" s="54"/>
      <c r="AK233" s="54" t="s">
        <v>74</v>
      </c>
      <c r="AL233" s="54"/>
      <c r="AM233" s="54"/>
      <c r="AN233" s="54"/>
      <c r="AO233" s="54" t="s">
        <v>74</v>
      </c>
      <c r="AP233" s="54"/>
      <c r="AQ233" s="54"/>
      <c r="AR233" s="54" t="s">
        <v>74</v>
      </c>
      <c r="AS233" s="54"/>
      <c r="AT233" s="54"/>
      <c r="AU233" s="54" t="s">
        <v>74</v>
      </c>
      <c r="AV233" s="54"/>
      <c r="AW233" s="54"/>
      <c r="AX233" s="54" t="s">
        <v>74</v>
      </c>
      <c r="AY233" s="54"/>
      <c r="AZ233" s="54" t="s">
        <v>74</v>
      </c>
      <c r="BA233" s="54"/>
      <c r="BB233" s="54"/>
      <c r="BC233" s="54"/>
      <c r="BD233" s="54"/>
      <c r="BE233" s="55" t="s">
        <v>74</v>
      </c>
      <c r="BF233" s="55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</row>
    <row r="234" spans="1:72" s="1" customFormat="1" ht="13.5" customHeight="1">
      <c r="A234" s="39"/>
      <c r="B234" s="56" t="s">
        <v>9</v>
      </c>
      <c r="C234" s="57" t="s">
        <v>416</v>
      </c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8" t="s">
        <v>417</v>
      </c>
      <c r="W234" s="58"/>
      <c r="X234" s="58"/>
      <c r="Y234" s="25" t="s">
        <v>74</v>
      </c>
      <c r="Z234" s="25"/>
      <c r="AA234" s="25"/>
      <c r="AB234" s="25"/>
      <c r="AC234" s="25" t="s">
        <v>74</v>
      </c>
      <c r="AD234" s="25"/>
      <c r="AE234" s="25"/>
      <c r="AF234" s="25" t="s">
        <v>74</v>
      </c>
      <c r="AG234" s="25"/>
      <c r="AH234" s="25"/>
      <c r="AI234" s="25" t="s">
        <v>74</v>
      </c>
      <c r="AJ234" s="25"/>
      <c r="AK234" s="25" t="s">
        <v>74</v>
      </c>
      <c r="AL234" s="25"/>
      <c r="AM234" s="25"/>
      <c r="AN234" s="25"/>
      <c r="AO234" s="25" t="s">
        <v>74</v>
      </c>
      <c r="AP234" s="25"/>
      <c r="AQ234" s="25"/>
      <c r="AR234" s="25" t="s">
        <v>74</v>
      </c>
      <c r="AS234" s="25"/>
      <c r="AT234" s="25"/>
      <c r="AU234" s="25" t="s">
        <v>74</v>
      </c>
      <c r="AV234" s="25"/>
      <c r="AW234" s="25"/>
      <c r="AX234" s="25" t="s">
        <v>74</v>
      </c>
      <c r="AY234" s="25"/>
      <c r="AZ234" s="25" t="s">
        <v>74</v>
      </c>
      <c r="BA234" s="25"/>
      <c r="BB234" s="25"/>
      <c r="BC234" s="25"/>
      <c r="BD234" s="25"/>
      <c r="BE234" s="46" t="s">
        <v>74</v>
      </c>
      <c r="BF234" s="46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</row>
    <row r="235" spans="1:72" s="1" customFormat="1" ht="13.5" customHeight="1">
      <c r="A235" s="39"/>
      <c r="B235" s="56" t="s">
        <v>9</v>
      </c>
      <c r="C235" s="57" t="s">
        <v>418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8" t="s">
        <v>419</v>
      </c>
      <c r="W235" s="58"/>
      <c r="X235" s="58"/>
      <c r="Y235" s="25" t="s">
        <v>74</v>
      </c>
      <c r="Z235" s="25"/>
      <c r="AA235" s="25"/>
      <c r="AB235" s="25"/>
      <c r="AC235" s="25" t="s">
        <v>74</v>
      </c>
      <c r="AD235" s="25"/>
      <c r="AE235" s="25"/>
      <c r="AF235" s="25" t="s">
        <v>74</v>
      </c>
      <c r="AG235" s="25"/>
      <c r="AH235" s="25"/>
      <c r="AI235" s="25" t="s">
        <v>74</v>
      </c>
      <c r="AJ235" s="25"/>
      <c r="AK235" s="25" t="s">
        <v>74</v>
      </c>
      <c r="AL235" s="25"/>
      <c r="AM235" s="25"/>
      <c r="AN235" s="25"/>
      <c r="AO235" s="25" t="s">
        <v>74</v>
      </c>
      <c r="AP235" s="25"/>
      <c r="AQ235" s="25"/>
      <c r="AR235" s="25" t="s">
        <v>74</v>
      </c>
      <c r="AS235" s="25"/>
      <c r="AT235" s="25"/>
      <c r="AU235" s="25" t="s">
        <v>74</v>
      </c>
      <c r="AV235" s="25"/>
      <c r="AW235" s="25"/>
      <c r="AX235" s="25" t="s">
        <v>74</v>
      </c>
      <c r="AY235" s="25"/>
      <c r="AZ235" s="25" t="s">
        <v>74</v>
      </c>
      <c r="BA235" s="25"/>
      <c r="BB235" s="25"/>
      <c r="BC235" s="25"/>
      <c r="BD235" s="25"/>
      <c r="BE235" s="46" t="s">
        <v>74</v>
      </c>
      <c r="BF235" s="46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</row>
    <row r="236" spans="1:72" s="1" customFormat="1" ht="13.5" customHeight="1">
      <c r="A236" s="39"/>
      <c r="B236" s="56" t="s">
        <v>9</v>
      </c>
      <c r="C236" s="57" t="s">
        <v>178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8" t="s">
        <v>420</v>
      </c>
      <c r="W236" s="58"/>
      <c r="X236" s="58"/>
      <c r="Y236" s="25" t="s">
        <v>74</v>
      </c>
      <c r="Z236" s="25"/>
      <c r="AA236" s="25"/>
      <c r="AB236" s="25"/>
      <c r="AC236" s="25" t="s">
        <v>74</v>
      </c>
      <c r="AD236" s="25"/>
      <c r="AE236" s="25"/>
      <c r="AF236" s="25" t="s">
        <v>74</v>
      </c>
      <c r="AG236" s="25"/>
      <c r="AH236" s="25"/>
      <c r="AI236" s="25" t="s">
        <v>74</v>
      </c>
      <c r="AJ236" s="25"/>
      <c r="AK236" s="25" t="s">
        <v>74</v>
      </c>
      <c r="AL236" s="25"/>
      <c r="AM236" s="25"/>
      <c r="AN236" s="25"/>
      <c r="AO236" s="25" t="s">
        <v>74</v>
      </c>
      <c r="AP236" s="25"/>
      <c r="AQ236" s="25"/>
      <c r="AR236" s="25" t="s">
        <v>74</v>
      </c>
      <c r="AS236" s="25"/>
      <c r="AT236" s="25"/>
      <c r="AU236" s="25" t="s">
        <v>74</v>
      </c>
      <c r="AV236" s="25"/>
      <c r="AW236" s="25"/>
      <c r="AX236" s="25" t="s">
        <v>74</v>
      </c>
      <c r="AY236" s="25"/>
      <c r="AZ236" s="25" t="s">
        <v>74</v>
      </c>
      <c r="BA236" s="25"/>
      <c r="BB236" s="25"/>
      <c r="BC236" s="25"/>
      <c r="BD236" s="25"/>
      <c r="BE236" s="46" t="s">
        <v>74</v>
      </c>
      <c r="BF236" s="46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</row>
    <row r="237" spans="1:72" s="1" customFormat="1" ht="13.5" customHeight="1">
      <c r="A237" s="39"/>
      <c r="B237" s="56" t="s">
        <v>9</v>
      </c>
      <c r="C237" s="57" t="s">
        <v>421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8" t="s">
        <v>422</v>
      </c>
      <c r="W237" s="58"/>
      <c r="X237" s="58"/>
      <c r="Y237" s="25" t="s">
        <v>74</v>
      </c>
      <c r="Z237" s="25"/>
      <c r="AA237" s="25"/>
      <c r="AB237" s="25"/>
      <c r="AC237" s="25" t="s">
        <v>74</v>
      </c>
      <c r="AD237" s="25"/>
      <c r="AE237" s="25"/>
      <c r="AF237" s="25" t="s">
        <v>74</v>
      </c>
      <c r="AG237" s="25"/>
      <c r="AH237" s="25"/>
      <c r="AI237" s="25" t="s">
        <v>74</v>
      </c>
      <c r="AJ237" s="25"/>
      <c r="AK237" s="25" t="s">
        <v>74</v>
      </c>
      <c r="AL237" s="25"/>
      <c r="AM237" s="25"/>
      <c r="AN237" s="25"/>
      <c r="AO237" s="25" t="s">
        <v>74</v>
      </c>
      <c r="AP237" s="25"/>
      <c r="AQ237" s="25"/>
      <c r="AR237" s="25" t="s">
        <v>74</v>
      </c>
      <c r="AS237" s="25"/>
      <c r="AT237" s="25"/>
      <c r="AU237" s="25" t="s">
        <v>74</v>
      </c>
      <c r="AV237" s="25"/>
      <c r="AW237" s="25"/>
      <c r="AX237" s="25" t="s">
        <v>74</v>
      </c>
      <c r="AY237" s="25"/>
      <c r="AZ237" s="25" t="s">
        <v>74</v>
      </c>
      <c r="BA237" s="25"/>
      <c r="BB237" s="25"/>
      <c r="BC237" s="25"/>
      <c r="BD237" s="25"/>
      <c r="BE237" s="46" t="s">
        <v>74</v>
      </c>
      <c r="BF237" s="46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</row>
    <row r="238" spans="1:72" s="1" customFormat="1" ht="24" customHeight="1">
      <c r="A238" s="39"/>
      <c r="B238" s="56" t="s">
        <v>9</v>
      </c>
      <c r="C238" s="57" t="s">
        <v>423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8" t="s">
        <v>424</v>
      </c>
      <c r="W238" s="58"/>
      <c r="X238" s="58"/>
      <c r="Y238" s="25" t="s">
        <v>74</v>
      </c>
      <c r="Z238" s="25"/>
      <c r="AA238" s="25"/>
      <c r="AB238" s="25"/>
      <c r="AC238" s="25" t="s">
        <v>74</v>
      </c>
      <c r="AD238" s="25"/>
      <c r="AE238" s="25"/>
      <c r="AF238" s="25" t="s">
        <v>74</v>
      </c>
      <c r="AG238" s="25"/>
      <c r="AH238" s="25"/>
      <c r="AI238" s="25" t="s">
        <v>74</v>
      </c>
      <c r="AJ238" s="25"/>
      <c r="AK238" s="25" t="s">
        <v>74</v>
      </c>
      <c r="AL238" s="25"/>
      <c r="AM238" s="25"/>
      <c r="AN238" s="25"/>
      <c r="AO238" s="25" t="s">
        <v>74</v>
      </c>
      <c r="AP238" s="25"/>
      <c r="AQ238" s="25"/>
      <c r="AR238" s="25" t="s">
        <v>74</v>
      </c>
      <c r="AS238" s="25"/>
      <c r="AT238" s="25"/>
      <c r="AU238" s="25" t="s">
        <v>74</v>
      </c>
      <c r="AV238" s="25"/>
      <c r="AW238" s="25"/>
      <c r="AX238" s="25" t="s">
        <v>74</v>
      </c>
      <c r="AY238" s="25"/>
      <c r="AZ238" s="25" t="s">
        <v>74</v>
      </c>
      <c r="BA238" s="25"/>
      <c r="BB238" s="25"/>
      <c r="BC238" s="25"/>
      <c r="BD238" s="25"/>
      <c r="BE238" s="46" t="s">
        <v>74</v>
      </c>
      <c r="BF238" s="46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</row>
    <row r="239" spans="1:72" s="1" customFormat="1" ht="24" customHeight="1">
      <c r="A239" s="39"/>
      <c r="B239" s="56" t="s">
        <v>9</v>
      </c>
      <c r="C239" s="57" t="s">
        <v>425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426</v>
      </c>
      <c r="W239" s="58"/>
      <c r="X239" s="58"/>
      <c r="Y239" s="25" t="s">
        <v>74</v>
      </c>
      <c r="Z239" s="25"/>
      <c r="AA239" s="25"/>
      <c r="AB239" s="25"/>
      <c r="AC239" s="25" t="s">
        <v>74</v>
      </c>
      <c r="AD239" s="25"/>
      <c r="AE239" s="25"/>
      <c r="AF239" s="25" t="s">
        <v>74</v>
      </c>
      <c r="AG239" s="25"/>
      <c r="AH239" s="25"/>
      <c r="AI239" s="25" t="s">
        <v>74</v>
      </c>
      <c r="AJ239" s="25"/>
      <c r="AK239" s="25" t="s">
        <v>74</v>
      </c>
      <c r="AL239" s="25"/>
      <c r="AM239" s="25"/>
      <c r="AN239" s="25"/>
      <c r="AO239" s="25" t="s">
        <v>74</v>
      </c>
      <c r="AP239" s="25"/>
      <c r="AQ239" s="25"/>
      <c r="AR239" s="25" t="s">
        <v>74</v>
      </c>
      <c r="AS239" s="25"/>
      <c r="AT239" s="25"/>
      <c r="AU239" s="25" t="s">
        <v>74</v>
      </c>
      <c r="AV239" s="25"/>
      <c r="AW239" s="25"/>
      <c r="AX239" s="25" t="s">
        <v>74</v>
      </c>
      <c r="AY239" s="25"/>
      <c r="AZ239" s="25" t="s">
        <v>74</v>
      </c>
      <c r="BA239" s="25"/>
      <c r="BB239" s="25"/>
      <c r="BC239" s="25"/>
      <c r="BD239" s="25"/>
      <c r="BE239" s="46" t="s">
        <v>74</v>
      </c>
      <c r="BF239" s="46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</row>
    <row r="240" spans="1:72" s="1" customFormat="1" ht="13.5" customHeight="1">
      <c r="A240" s="39"/>
      <c r="B240" s="56" t="s">
        <v>9</v>
      </c>
      <c r="C240" s="57" t="s">
        <v>427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428</v>
      </c>
      <c r="W240" s="58"/>
      <c r="X240" s="58"/>
      <c r="Y240" s="25" t="s">
        <v>74</v>
      </c>
      <c r="Z240" s="25"/>
      <c r="AA240" s="25"/>
      <c r="AB240" s="25"/>
      <c r="AC240" s="25" t="s">
        <v>74</v>
      </c>
      <c r="AD240" s="25"/>
      <c r="AE240" s="25"/>
      <c r="AF240" s="25" t="s">
        <v>74</v>
      </c>
      <c r="AG240" s="25"/>
      <c r="AH240" s="25"/>
      <c r="AI240" s="25" t="s">
        <v>74</v>
      </c>
      <c r="AJ240" s="25"/>
      <c r="AK240" s="25" t="s">
        <v>74</v>
      </c>
      <c r="AL240" s="25"/>
      <c r="AM240" s="25"/>
      <c r="AN240" s="25"/>
      <c r="AO240" s="25" t="s">
        <v>74</v>
      </c>
      <c r="AP240" s="25"/>
      <c r="AQ240" s="25"/>
      <c r="AR240" s="25" t="s">
        <v>74</v>
      </c>
      <c r="AS240" s="25"/>
      <c r="AT240" s="25"/>
      <c r="AU240" s="25" t="s">
        <v>74</v>
      </c>
      <c r="AV240" s="25"/>
      <c r="AW240" s="25"/>
      <c r="AX240" s="25" t="s">
        <v>74</v>
      </c>
      <c r="AY240" s="25"/>
      <c r="AZ240" s="25" t="s">
        <v>74</v>
      </c>
      <c r="BA240" s="25"/>
      <c r="BB240" s="25"/>
      <c r="BC240" s="25"/>
      <c r="BD240" s="25"/>
      <c r="BE240" s="46" t="s">
        <v>74</v>
      </c>
      <c r="BF240" s="46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</row>
    <row r="241" spans="1:72" s="1" customFormat="1" ht="24" customHeight="1">
      <c r="A241" s="39"/>
      <c r="B241" s="56" t="s">
        <v>9</v>
      </c>
      <c r="C241" s="57" t="s">
        <v>429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430</v>
      </c>
      <c r="W241" s="58"/>
      <c r="X241" s="58"/>
      <c r="Y241" s="25" t="s">
        <v>74</v>
      </c>
      <c r="Z241" s="25"/>
      <c r="AA241" s="25"/>
      <c r="AB241" s="25"/>
      <c r="AC241" s="25" t="s">
        <v>74</v>
      </c>
      <c r="AD241" s="25"/>
      <c r="AE241" s="25"/>
      <c r="AF241" s="25" t="s">
        <v>74</v>
      </c>
      <c r="AG241" s="25"/>
      <c r="AH241" s="25"/>
      <c r="AI241" s="25" t="s">
        <v>74</v>
      </c>
      <c r="AJ241" s="25"/>
      <c r="AK241" s="25" t="s">
        <v>74</v>
      </c>
      <c r="AL241" s="25"/>
      <c r="AM241" s="25"/>
      <c r="AN241" s="25"/>
      <c r="AO241" s="25" t="s">
        <v>74</v>
      </c>
      <c r="AP241" s="25"/>
      <c r="AQ241" s="25"/>
      <c r="AR241" s="25" t="s">
        <v>74</v>
      </c>
      <c r="AS241" s="25"/>
      <c r="AT241" s="25"/>
      <c r="AU241" s="25" t="s">
        <v>74</v>
      </c>
      <c r="AV241" s="25"/>
      <c r="AW241" s="25"/>
      <c r="AX241" s="25" t="s">
        <v>74</v>
      </c>
      <c r="AY241" s="25"/>
      <c r="AZ241" s="25" t="s">
        <v>74</v>
      </c>
      <c r="BA241" s="25"/>
      <c r="BB241" s="25"/>
      <c r="BC241" s="25"/>
      <c r="BD241" s="25"/>
      <c r="BE241" s="46" t="s">
        <v>74</v>
      </c>
      <c r="BF241" s="46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</row>
    <row r="242" spans="1:72" s="1" customFormat="1" ht="24" customHeight="1">
      <c r="A242" s="39"/>
      <c r="B242" s="44" t="s">
        <v>431</v>
      </c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5" t="s">
        <v>432</v>
      </c>
      <c r="W242" s="45"/>
      <c r="X242" s="45"/>
      <c r="Y242" s="25" t="s">
        <v>74</v>
      </c>
      <c r="Z242" s="25"/>
      <c r="AA242" s="25"/>
      <c r="AB242" s="25"/>
      <c r="AC242" s="25" t="s">
        <v>74</v>
      </c>
      <c r="AD242" s="25"/>
      <c r="AE242" s="25"/>
      <c r="AF242" s="25" t="s">
        <v>74</v>
      </c>
      <c r="AG242" s="25"/>
      <c r="AH242" s="25"/>
      <c r="AI242" s="25" t="s">
        <v>74</v>
      </c>
      <c r="AJ242" s="25"/>
      <c r="AK242" s="25" t="s">
        <v>74</v>
      </c>
      <c r="AL242" s="25"/>
      <c r="AM242" s="25"/>
      <c r="AN242" s="25"/>
      <c r="AO242" s="25" t="s">
        <v>74</v>
      </c>
      <c r="AP242" s="25"/>
      <c r="AQ242" s="25"/>
      <c r="AR242" s="25" t="s">
        <v>74</v>
      </c>
      <c r="AS242" s="25"/>
      <c r="AT242" s="25"/>
      <c r="AU242" s="25" t="s">
        <v>74</v>
      </c>
      <c r="AV242" s="25"/>
      <c r="AW242" s="25"/>
      <c r="AX242" s="25" t="s">
        <v>74</v>
      </c>
      <c r="AY242" s="25"/>
      <c r="AZ242" s="25" t="s">
        <v>74</v>
      </c>
      <c r="BA242" s="25"/>
      <c r="BB242" s="25"/>
      <c r="BC242" s="25"/>
      <c r="BD242" s="25"/>
      <c r="BE242" s="46" t="s">
        <v>74</v>
      </c>
      <c r="BF242" s="46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</row>
    <row r="243" spans="1:72" s="1" customFormat="1" ht="13.5" customHeight="1">
      <c r="A243" s="39"/>
      <c r="B243" s="47" t="s">
        <v>413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8" t="s">
        <v>9</v>
      </c>
      <c r="W243" s="48"/>
      <c r="X243" s="48"/>
      <c r="Y243" s="49" t="s">
        <v>9</v>
      </c>
      <c r="Z243" s="49"/>
      <c r="AA243" s="49"/>
      <c r="AB243" s="49"/>
      <c r="AC243" s="49" t="s">
        <v>9</v>
      </c>
      <c r="AD243" s="49"/>
      <c r="AE243" s="49"/>
      <c r="AF243" s="49" t="s">
        <v>9</v>
      </c>
      <c r="AG243" s="49"/>
      <c r="AH243" s="49"/>
      <c r="AI243" s="49" t="s">
        <v>9</v>
      </c>
      <c r="AJ243" s="49"/>
      <c r="AK243" s="49" t="s">
        <v>9</v>
      </c>
      <c r="AL243" s="49"/>
      <c r="AM243" s="49"/>
      <c r="AN243" s="49"/>
      <c r="AO243" s="49" t="s">
        <v>9</v>
      </c>
      <c r="AP243" s="49"/>
      <c r="AQ243" s="49"/>
      <c r="AR243" s="49" t="s">
        <v>9</v>
      </c>
      <c r="AS243" s="49"/>
      <c r="AT243" s="49"/>
      <c r="AU243" s="49" t="s">
        <v>9</v>
      </c>
      <c r="AV243" s="49"/>
      <c r="AW243" s="49"/>
      <c r="AX243" s="49" t="s">
        <v>9</v>
      </c>
      <c r="AY243" s="49"/>
      <c r="AZ243" s="49" t="s">
        <v>9</v>
      </c>
      <c r="BA243" s="49"/>
      <c r="BB243" s="49"/>
      <c r="BC243" s="49"/>
      <c r="BD243" s="49"/>
      <c r="BE243" s="50" t="s">
        <v>9</v>
      </c>
      <c r="BF243" s="50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</row>
    <row r="244" spans="1:72" s="1" customFormat="1" ht="13.5" customHeight="1">
      <c r="A244" s="39"/>
      <c r="B244" s="51" t="s">
        <v>9</v>
      </c>
      <c r="C244" s="52" t="s">
        <v>414</v>
      </c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3" t="s">
        <v>433</v>
      </c>
      <c r="W244" s="53"/>
      <c r="X244" s="53"/>
      <c r="Y244" s="54" t="s">
        <v>74</v>
      </c>
      <c r="Z244" s="54"/>
      <c r="AA244" s="54"/>
      <c r="AB244" s="54"/>
      <c r="AC244" s="54" t="s">
        <v>74</v>
      </c>
      <c r="AD244" s="54"/>
      <c r="AE244" s="54"/>
      <c r="AF244" s="54" t="s">
        <v>74</v>
      </c>
      <c r="AG244" s="54"/>
      <c r="AH244" s="54"/>
      <c r="AI244" s="54" t="s">
        <v>74</v>
      </c>
      <c r="AJ244" s="54"/>
      <c r="AK244" s="54" t="s">
        <v>74</v>
      </c>
      <c r="AL244" s="54"/>
      <c r="AM244" s="54"/>
      <c r="AN244" s="54"/>
      <c r="AO244" s="54" t="s">
        <v>74</v>
      </c>
      <c r="AP244" s="54"/>
      <c r="AQ244" s="54"/>
      <c r="AR244" s="54" t="s">
        <v>74</v>
      </c>
      <c r="AS244" s="54"/>
      <c r="AT244" s="54"/>
      <c r="AU244" s="54" t="s">
        <v>74</v>
      </c>
      <c r="AV244" s="54"/>
      <c r="AW244" s="54"/>
      <c r="AX244" s="54" t="s">
        <v>74</v>
      </c>
      <c r="AY244" s="54"/>
      <c r="AZ244" s="54" t="s">
        <v>74</v>
      </c>
      <c r="BA244" s="54"/>
      <c r="BB244" s="54"/>
      <c r="BC244" s="54"/>
      <c r="BD244" s="54"/>
      <c r="BE244" s="55" t="s">
        <v>74</v>
      </c>
      <c r="BF244" s="55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13.5" customHeight="1">
      <c r="A245" s="39"/>
      <c r="B245" s="56" t="s">
        <v>9</v>
      </c>
      <c r="C245" s="57" t="s">
        <v>416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434</v>
      </c>
      <c r="W245" s="58"/>
      <c r="X245" s="58"/>
      <c r="Y245" s="25" t="s">
        <v>74</v>
      </c>
      <c r="Z245" s="25"/>
      <c r="AA245" s="25"/>
      <c r="AB245" s="25"/>
      <c r="AC245" s="25" t="s">
        <v>74</v>
      </c>
      <c r="AD245" s="25"/>
      <c r="AE245" s="25"/>
      <c r="AF245" s="25" t="s">
        <v>74</v>
      </c>
      <c r="AG245" s="25"/>
      <c r="AH245" s="25"/>
      <c r="AI245" s="25" t="s">
        <v>74</v>
      </c>
      <c r="AJ245" s="25"/>
      <c r="AK245" s="25" t="s">
        <v>74</v>
      </c>
      <c r="AL245" s="25"/>
      <c r="AM245" s="25"/>
      <c r="AN245" s="25"/>
      <c r="AO245" s="25" t="s">
        <v>74</v>
      </c>
      <c r="AP245" s="25"/>
      <c r="AQ245" s="25"/>
      <c r="AR245" s="25" t="s">
        <v>74</v>
      </c>
      <c r="AS245" s="25"/>
      <c r="AT245" s="25"/>
      <c r="AU245" s="25" t="s">
        <v>74</v>
      </c>
      <c r="AV245" s="25"/>
      <c r="AW245" s="25"/>
      <c r="AX245" s="25" t="s">
        <v>74</v>
      </c>
      <c r="AY245" s="25"/>
      <c r="AZ245" s="25" t="s">
        <v>74</v>
      </c>
      <c r="BA245" s="25"/>
      <c r="BB245" s="25"/>
      <c r="BC245" s="25"/>
      <c r="BD245" s="25"/>
      <c r="BE245" s="46" t="s">
        <v>74</v>
      </c>
      <c r="BF245" s="46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13.5" customHeight="1">
      <c r="A246" s="39"/>
      <c r="B246" s="56" t="s">
        <v>9</v>
      </c>
      <c r="C246" s="57" t="s">
        <v>418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435</v>
      </c>
      <c r="W246" s="58"/>
      <c r="X246" s="58"/>
      <c r="Y246" s="25" t="s">
        <v>74</v>
      </c>
      <c r="Z246" s="25"/>
      <c r="AA246" s="25"/>
      <c r="AB246" s="25"/>
      <c r="AC246" s="25" t="s">
        <v>74</v>
      </c>
      <c r="AD246" s="25"/>
      <c r="AE246" s="25"/>
      <c r="AF246" s="25" t="s">
        <v>74</v>
      </c>
      <c r="AG246" s="25"/>
      <c r="AH246" s="25"/>
      <c r="AI246" s="25" t="s">
        <v>74</v>
      </c>
      <c r="AJ246" s="25"/>
      <c r="AK246" s="25" t="s">
        <v>74</v>
      </c>
      <c r="AL246" s="25"/>
      <c r="AM246" s="25"/>
      <c r="AN246" s="25"/>
      <c r="AO246" s="25" t="s">
        <v>74</v>
      </c>
      <c r="AP246" s="25"/>
      <c r="AQ246" s="25"/>
      <c r="AR246" s="25" t="s">
        <v>74</v>
      </c>
      <c r="AS246" s="25"/>
      <c r="AT246" s="25"/>
      <c r="AU246" s="25" t="s">
        <v>74</v>
      </c>
      <c r="AV246" s="25"/>
      <c r="AW246" s="25"/>
      <c r="AX246" s="25" t="s">
        <v>74</v>
      </c>
      <c r="AY246" s="25"/>
      <c r="AZ246" s="25" t="s">
        <v>74</v>
      </c>
      <c r="BA246" s="25"/>
      <c r="BB246" s="25"/>
      <c r="BC246" s="25"/>
      <c r="BD246" s="25"/>
      <c r="BE246" s="46" t="s">
        <v>74</v>
      </c>
      <c r="BF246" s="46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56" t="s">
        <v>9</v>
      </c>
      <c r="C247" s="57" t="s">
        <v>178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436</v>
      </c>
      <c r="W247" s="58"/>
      <c r="X247" s="58"/>
      <c r="Y247" s="25" t="s">
        <v>74</v>
      </c>
      <c r="Z247" s="25"/>
      <c r="AA247" s="25"/>
      <c r="AB247" s="25"/>
      <c r="AC247" s="25" t="s">
        <v>74</v>
      </c>
      <c r="AD247" s="25"/>
      <c r="AE247" s="25"/>
      <c r="AF247" s="25" t="s">
        <v>74</v>
      </c>
      <c r="AG247" s="25"/>
      <c r="AH247" s="25"/>
      <c r="AI247" s="25" t="s">
        <v>74</v>
      </c>
      <c r="AJ247" s="25"/>
      <c r="AK247" s="25" t="s">
        <v>74</v>
      </c>
      <c r="AL247" s="25"/>
      <c r="AM247" s="25"/>
      <c r="AN247" s="25"/>
      <c r="AO247" s="25" t="s">
        <v>74</v>
      </c>
      <c r="AP247" s="25"/>
      <c r="AQ247" s="25"/>
      <c r="AR247" s="25" t="s">
        <v>74</v>
      </c>
      <c r="AS247" s="25"/>
      <c r="AT247" s="25"/>
      <c r="AU247" s="25" t="s">
        <v>74</v>
      </c>
      <c r="AV247" s="25"/>
      <c r="AW247" s="25"/>
      <c r="AX247" s="25" t="s">
        <v>74</v>
      </c>
      <c r="AY247" s="25"/>
      <c r="AZ247" s="25" t="s">
        <v>74</v>
      </c>
      <c r="BA247" s="25"/>
      <c r="BB247" s="25"/>
      <c r="BC247" s="25"/>
      <c r="BD247" s="25"/>
      <c r="BE247" s="46" t="s">
        <v>74</v>
      </c>
      <c r="BF247" s="46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13.5" customHeight="1">
      <c r="A248" s="39"/>
      <c r="B248" s="56" t="s">
        <v>9</v>
      </c>
      <c r="C248" s="57" t="s">
        <v>421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437</v>
      </c>
      <c r="W248" s="58"/>
      <c r="X248" s="58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24" customHeight="1">
      <c r="A249" s="39"/>
      <c r="B249" s="56" t="s">
        <v>9</v>
      </c>
      <c r="C249" s="57" t="s">
        <v>423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438</v>
      </c>
      <c r="W249" s="58"/>
      <c r="X249" s="58"/>
      <c r="Y249" s="25" t="s">
        <v>74</v>
      </c>
      <c r="Z249" s="25"/>
      <c r="AA249" s="25"/>
      <c r="AB249" s="25"/>
      <c r="AC249" s="25" t="s">
        <v>74</v>
      </c>
      <c r="AD249" s="25"/>
      <c r="AE249" s="25"/>
      <c r="AF249" s="25" t="s">
        <v>74</v>
      </c>
      <c r="AG249" s="25"/>
      <c r="AH249" s="25"/>
      <c r="AI249" s="25" t="s">
        <v>74</v>
      </c>
      <c r="AJ249" s="25"/>
      <c r="AK249" s="25" t="s">
        <v>74</v>
      </c>
      <c r="AL249" s="25"/>
      <c r="AM249" s="25"/>
      <c r="AN249" s="25"/>
      <c r="AO249" s="25" t="s">
        <v>74</v>
      </c>
      <c r="AP249" s="25"/>
      <c r="AQ249" s="25"/>
      <c r="AR249" s="25" t="s">
        <v>74</v>
      </c>
      <c r="AS249" s="25"/>
      <c r="AT249" s="25"/>
      <c r="AU249" s="25" t="s">
        <v>74</v>
      </c>
      <c r="AV249" s="25"/>
      <c r="AW249" s="25"/>
      <c r="AX249" s="25" t="s">
        <v>74</v>
      </c>
      <c r="AY249" s="25"/>
      <c r="AZ249" s="25" t="s">
        <v>74</v>
      </c>
      <c r="BA249" s="25"/>
      <c r="BB249" s="25"/>
      <c r="BC249" s="25"/>
      <c r="BD249" s="25"/>
      <c r="BE249" s="46" t="s">
        <v>74</v>
      </c>
      <c r="BF249" s="46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24" customHeight="1">
      <c r="A250" s="39"/>
      <c r="B250" s="56" t="s">
        <v>9</v>
      </c>
      <c r="C250" s="57" t="s">
        <v>425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439</v>
      </c>
      <c r="W250" s="58"/>
      <c r="X250" s="58"/>
      <c r="Y250" s="25" t="s">
        <v>74</v>
      </c>
      <c r="Z250" s="25"/>
      <c r="AA250" s="25"/>
      <c r="AB250" s="25"/>
      <c r="AC250" s="25" t="s">
        <v>74</v>
      </c>
      <c r="AD250" s="25"/>
      <c r="AE250" s="25"/>
      <c r="AF250" s="25" t="s">
        <v>74</v>
      </c>
      <c r="AG250" s="25"/>
      <c r="AH250" s="25"/>
      <c r="AI250" s="25" t="s">
        <v>74</v>
      </c>
      <c r="AJ250" s="25"/>
      <c r="AK250" s="25" t="s">
        <v>74</v>
      </c>
      <c r="AL250" s="25"/>
      <c r="AM250" s="25"/>
      <c r="AN250" s="25"/>
      <c r="AO250" s="25" t="s">
        <v>74</v>
      </c>
      <c r="AP250" s="25"/>
      <c r="AQ250" s="25"/>
      <c r="AR250" s="25" t="s">
        <v>74</v>
      </c>
      <c r="AS250" s="25"/>
      <c r="AT250" s="25"/>
      <c r="AU250" s="25" t="s">
        <v>74</v>
      </c>
      <c r="AV250" s="25"/>
      <c r="AW250" s="25"/>
      <c r="AX250" s="25" t="s">
        <v>74</v>
      </c>
      <c r="AY250" s="25"/>
      <c r="AZ250" s="25" t="s">
        <v>74</v>
      </c>
      <c r="BA250" s="25"/>
      <c r="BB250" s="25"/>
      <c r="BC250" s="25"/>
      <c r="BD250" s="25"/>
      <c r="BE250" s="46" t="s">
        <v>74</v>
      </c>
      <c r="BF250" s="46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56" t="s">
        <v>9</v>
      </c>
      <c r="C251" s="57" t="s">
        <v>427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440</v>
      </c>
      <c r="W251" s="58"/>
      <c r="X251" s="58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24" customHeight="1">
      <c r="A252" s="39"/>
      <c r="B252" s="56" t="s">
        <v>9</v>
      </c>
      <c r="C252" s="57" t="s">
        <v>429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441</v>
      </c>
      <c r="W252" s="58"/>
      <c r="X252" s="58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44" t="s">
        <v>442</v>
      </c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5" t="s">
        <v>443</v>
      </c>
      <c r="W253" s="45"/>
      <c r="X253" s="45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47" t="s">
        <v>413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8" t="s">
        <v>9</v>
      </c>
      <c r="W254" s="48"/>
      <c r="X254" s="48"/>
      <c r="Y254" s="49" t="s">
        <v>9</v>
      </c>
      <c r="Z254" s="49"/>
      <c r="AA254" s="49"/>
      <c r="AB254" s="49"/>
      <c r="AC254" s="49" t="s">
        <v>9</v>
      </c>
      <c r="AD254" s="49"/>
      <c r="AE254" s="49"/>
      <c r="AF254" s="49" t="s">
        <v>9</v>
      </c>
      <c r="AG254" s="49"/>
      <c r="AH254" s="49"/>
      <c r="AI254" s="49" t="s">
        <v>9</v>
      </c>
      <c r="AJ254" s="49"/>
      <c r="AK254" s="49" t="s">
        <v>9</v>
      </c>
      <c r="AL254" s="49"/>
      <c r="AM254" s="49"/>
      <c r="AN254" s="49"/>
      <c r="AO254" s="49" t="s">
        <v>9</v>
      </c>
      <c r="AP254" s="49"/>
      <c r="AQ254" s="49"/>
      <c r="AR254" s="49" t="s">
        <v>9</v>
      </c>
      <c r="AS254" s="49"/>
      <c r="AT254" s="49"/>
      <c r="AU254" s="49" t="s">
        <v>9</v>
      </c>
      <c r="AV254" s="49"/>
      <c r="AW254" s="49"/>
      <c r="AX254" s="49" t="s">
        <v>9</v>
      </c>
      <c r="AY254" s="49"/>
      <c r="AZ254" s="49" t="s">
        <v>9</v>
      </c>
      <c r="BA254" s="49"/>
      <c r="BB254" s="49"/>
      <c r="BC254" s="49"/>
      <c r="BD254" s="49"/>
      <c r="BE254" s="50" t="s">
        <v>9</v>
      </c>
      <c r="BF254" s="50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51" t="s">
        <v>9</v>
      </c>
      <c r="C255" s="52" t="s">
        <v>414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3" t="s">
        <v>444</v>
      </c>
      <c r="W255" s="53"/>
      <c r="X255" s="53"/>
      <c r="Y255" s="54" t="s">
        <v>74</v>
      </c>
      <c r="Z255" s="54"/>
      <c r="AA255" s="54"/>
      <c r="AB255" s="54"/>
      <c r="AC255" s="54" t="s">
        <v>74</v>
      </c>
      <c r="AD255" s="54"/>
      <c r="AE255" s="54"/>
      <c r="AF255" s="54" t="s">
        <v>74</v>
      </c>
      <c r="AG255" s="54"/>
      <c r="AH255" s="54"/>
      <c r="AI255" s="54" t="s">
        <v>74</v>
      </c>
      <c r="AJ255" s="54"/>
      <c r="AK255" s="54" t="s">
        <v>74</v>
      </c>
      <c r="AL255" s="54"/>
      <c r="AM255" s="54"/>
      <c r="AN255" s="54"/>
      <c r="AO255" s="54" t="s">
        <v>74</v>
      </c>
      <c r="AP255" s="54"/>
      <c r="AQ255" s="54"/>
      <c r="AR255" s="54" t="s">
        <v>74</v>
      </c>
      <c r="AS255" s="54"/>
      <c r="AT255" s="54"/>
      <c r="AU255" s="54" t="s">
        <v>74</v>
      </c>
      <c r="AV255" s="54"/>
      <c r="AW255" s="54"/>
      <c r="AX255" s="54" t="s">
        <v>74</v>
      </c>
      <c r="AY255" s="54"/>
      <c r="AZ255" s="54" t="s">
        <v>74</v>
      </c>
      <c r="BA255" s="54"/>
      <c r="BB255" s="54"/>
      <c r="BC255" s="54"/>
      <c r="BD255" s="54"/>
      <c r="BE255" s="55" t="s">
        <v>74</v>
      </c>
      <c r="BF255" s="55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6" t="s">
        <v>9</v>
      </c>
      <c r="C256" s="57" t="s">
        <v>416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445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418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446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6" t="s">
        <v>9</v>
      </c>
      <c r="C258" s="57" t="s">
        <v>178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447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13.5" customHeight="1">
      <c r="A259" s="39"/>
      <c r="B259" s="56" t="s">
        <v>9</v>
      </c>
      <c r="C259" s="57" t="s">
        <v>421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448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24" customHeight="1">
      <c r="A260" s="39"/>
      <c r="B260" s="56" t="s">
        <v>9</v>
      </c>
      <c r="C260" s="57" t="s">
        <v>423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449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24" customHeight="1">
      <c r="A261" s="39"/>
      <c r="B261" s="56" t="s">
        <v>9</v>
      </c>
      <c r="C261" s="57" t="s">
        <v>425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450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56" t="s">
        <v>9</v>
      </c>
      <c r="C262" s="57" t="s">
        <v>427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451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24" customHeight="1">
      <c r="A263" s="39"/>
      <c r="B263" s="56" t="s">
        <v>9</v>
      </c>
      <c r="C263" s="57" t="s">
        <v>429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452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44" t="s">
        <v>453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5" t="s">
        <v>454</v>
      </c>
      <c r="W264" s="45"/>
      <c r="X264" s="45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47" t="s">
        <v>413</v>
      </c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8" t="s">
        <v>9</v>
      </c>
      <c r="W265" s="48"/>
      <c r="X265" s="48"/>
      <c r="Y265" s="49" t="s">
        <v>9</v>
      </c>
      <c r="Z265" s="49"/>
      <c r="AA265" s="49"/>
      <c r="AB265" s="49"/>
      <c r="AC265" s="49" t="s">
        <v>9</v>
      </c>
      <c r="AD265" s="49"/>
      <c r="AE265" s="49"/>
      <c r="AF265" s="49" t="s">
        <v>9</v>
      </c>
      <c r="AG265" s="49"/>
      <c r="AH265" s="49"/>
      <c r="AI265" s="49" t="s">
        <v>9</v>
      </c>
      <c r="AJ265" s="49"/>
      <c r="AK265" s="49" t="s">
        <v>9</v>
      </c>
      <c r="AL265" s="49"/>
      <c r="AM265" s="49"/>
      <c r="AN265" s="49"/>
      <c r="AO265" s="49" t="s">
        <v>9</v>
      </c>
      <c r="AP265" s="49"/>
      <c r="AQ265" s="49"/>
      <c r="AR265" s="49" t="s">
        <v>9</v>
      </c>
      <c r="AS265" s="49"/>
      <c r="AT265" s="49"/>
      <c r="AU265" s="49" t="s">
        <v>9</v>
      </c>
      <c r="AV265" s="49"/>
      <c r="AW265" s="49"/>
      <c r="AX265" s="49" t="s">
        <v>9</v>
      </c>
      <c r="AY265" s="49"/>
      <c r="AZ265" s="49" t="s">
        <v>9</v>
      </c>
      <c r="BA265" s="49"/>
      <c r="BB265" s="49"/>
      <c r="BC265" s="49"/>
      <c r="BD265" s="49"/>
      <c r="BE265" s="50" t="s">
        <v>9</v>
      </c>
      <c r="BF265" s="50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1" t="s">
        <v>9</v>
      </c>
      <c r="C266" s="52" t="s">
        <v>414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3" t="s">
        <v>455</v>
      </c>
      <c r="W266" s="53"/>
      <c r="X266" s="53"/>
      <c r="Y266" s="54" t="s">
        <v>74</v>
      </c>
      <c r="Z266" s="54"/>
      <c r="AA266" s="54"/>
      <c r="AB266" s="54"/>
      <c r="AC266" s="54" t="s">
        <v>74</v>
      </c>
      <c r="AD266" s="54"/>
      <c r="AE266" s="54"/>
      <c r="AF266" s="54" t="s">
        <v>74</v>
      </c>
      <c r="AG266" s="54"/>
      <c r="AH266" s="54"/>
      <c r="AI266" s="54" t="s">
        <v>74</v>
      </c>
      <c r="AJ266" s="54"/>
      <c r="AK266" s="54" t="s">
        <v>74</v>
      </c>
      <c r="AL266" s="54"/>
      <c r="AM266" s="54"/>
      <c r="AN266" s="54"/>
      <c r="AO266" s="54" t="s">
        <v>74</v>
      </c>
      <c r="AP266" s="54"/>
      <c r="AQ266" s="54"/>
      <c r="AR266" s="54" t="s">
        <v>74</v>
      </c>
      <c r="AS266" s="54"/>
      <c r="AT266" s="54"/>
      <c r="AU266" s="54" t="s">
        <v>74</v>
      </c>
      <c r="AV266" s="54"/>
      <c r="AW266" s="54"/>
      <c r="AX266" s="54" t="s">
        <v>74</v>
      </c>
      <c r="AY266" s="54"/>
      <c r="AZ266" s="54" t="s">
        <v>74</v>
      </c>
      <c r="BA266" s="54"/>
      <c r="BB266" s="54"/>
      <c r="BC266" s="54"/>
      <c r="BD266" s="54"/>
      <c r="BE266" s="55" t="s">
        <v>74</v>
      </c>
      <c r="BF266" s="55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6" t="s">
        <v>9</v>
      </c>
      <c r="C267" s="57" t="s">
        <v>416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456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418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457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6" t="s">
        <v>9</v>
      </c>
      <c r="C269" s="57" t="s">
        <v>178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458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56" t="s">
        <v>9</v>
      </c>
      <c r="C270" s="57" t="s">
        <v>421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459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24" customHeight="1">
      <c r="A271" s="39"/>
      <c r="B271" s="56" t="s">
        <v>9</v>
      </c>
      <c r="C271" s="57" t="s">
        <v>423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460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24" customHeight="1">
      <c r="A272" s="39"/>
      <c r="B272" s="56" t="s">
        <v>9</v>
      </c>
      <c r="C272" s="57" t="s">
        <v>425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461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56" t="s">
        <v>9</v>
      </c>
      <c r="C273" s="57" t="s">
        <v>427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462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24" customHeight="1">
      <c r="A274" s="39"/>
      <c r="B274" s="56" t="s">
        <v>9</v>
      </c>
      <c r="C274" s="57" t="s">
        <v>429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463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44" t="s">
        <v>464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5" t="s">
        <v>465</v>
      </c>
      <c r="W275" s="45"/>
      <c r="X275" s="45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47" t="s">
        <v>413</v>
      </c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8" t="s">
        <v>9</v>
      </c>
      <c r="W276" s="48"/>
      <c r="X276" s="48"/>
      <c r="Y276" s="49" t="s">
        <v>9</v>
      </c>
      <c r="Z276" s="49"/>
      <c r="AA276" s="49"/>
      <c r="AB276" s="49"/>
      <c r="AC276" s="49" t="s">
        <v>9</v>
      </c>
      <c r="AD276" s="49"/>
      <c r="AE276" s="49"/>
      <c r="AF276" s="49" t="s">
        <v>9</v>
      </c>
      <c r="AG276" s="49"/>
      <c r="AH276" s="49"/>
      <c r="AI276" s="49" t="s">
        <v>9</v>
      </c>
      <c r="AJ276" s="49"/>
      <c r="AK276" s="49" t="s">
        <v>9</v>
      </c>
      <c r="AL276" s="49"/>
      <c r="AM276" s="49"/>
      <c r="AN276" s="49"/>
      <c r="AO276" s="49" t="s">
        <v>9</v>
      </c>
      <c r="AP276" s="49"/>
      <c r="AQ276" s="49"/>
      <c r="AR276" s="49" t="s">
        <v>9</v>
      </c>
      <c r="AS276" s="49"/>
      <c r="AT276" s="49"/>
      <c r="AU276" s="49" t="s">
        <v>9</v>
      </c>
      <c r="AV276" s="49"/>
      <c r="AW276" s="49"/>
      <c r="AX276" s="49" t="s">
        <v>9</v>
      </c>
      <c r="AY276" s="49"/>
      <c r="AZ276" s="49" t="s">
        <v>9</v>
      </c>
      <c r="BA276" s="49"/>
      <c r="BB276" s="49"/>
      <c r="BC276" s="49"/>
      <c r="BD276" s="49"/>
      <c r="BE276" s="50" t="s">
        <v>9</v>
      </c>
      <c r="BF276" s="50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1" t="s">
        <v>9</v>
      </c>
      <c r="C277" s="52" t="s">
        <v>414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3" t="s">
        <v>466</v>
      </c>
      <c r="W277" s="53"/>
      <c r="X277" s="53"/>
      <c r="Y277" s="54" t="s">
        <v>74</v>
      </c>
      <c r="Z277" s="54"/>
      <c r="AA277" s="54"/>
      <c r="AB277" s="54"/>
      <c r="AC277" s="54" t="s">
        <v>74</v>
      </c>
      <c r="AD277" s="54"/>
      <c r="AE277" s="54"/>
      <c r="AF277" s="54" t="s">
        <v>74</v>
      </c>
      <c r="AG277" s="54"/>
      <c r="AH277" s="54"/>
      <c r="AI277" s="54" t="s">
        <v>74</v>
      </c>
      <c r="AJ277" s="54"/>
      <c r="AK277" s="54" t="s">
        <v>74</v>
      </c>
      <c r="AL277" s="54"/>
      <c r="AM277" s="54"/>
      <c r="AN277" s="54"/>
      <c r="AO277" s="54" t="s">
        <v>74</v>
      </c>
      <c r="AP277" s="54"/>
      <c r="AQ277" s="54"/>
      <c r="AR277" s="54" t="s">
        <v>74</v>
      </c>
      <c r="AS277" s="54"/>
      <c r="AT277" s="54"/>
      <c r="AU277" s="54" t="s">
        <v>74</v>
      </c>
      <c r="AV277" s="54"/>
      <c r="AW277" s="54"/>
      <c r="AX277" s="54" t="s">
        <v>74</v>
      </c>
      <c r="AY277" s="54"/>
      <c r="AZ277" s="54" t="s">
        <v>74</v>
      </c>
      <c r="BA277" s="54"/>
      <c r="BB277" s="54"/>
      <c r="BC277" s="54"/>
      <c r="BD277" s="54"/>
      <c r="BE277" s="55" t="s">
        <v>74</v>
      </c>
      <c r="BF277" s="55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6" t="s">
        <v>9</v>
      </c>
      <c r="C278" s="57" t="s">
        <v>416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467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418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468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6" t="s">
        <v>9</v>
      </c>
      <c r="C280" s="57" t="s">
        <v>178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469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56" t="s">
        <v>9</v>
      </c>
      <c r="C281" s="57" t="s">
        <v>421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470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24" customHeight="1">
      <c r="A282" s="39"/>
      <c r="B282" s="56" t="s">
        <v>9</v>
      </c>
      <c r="C282" s="57" t="s">
        <v>423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471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24" customHeight="1">
      <c r="A283" s="39"/>
      <c r="B283" s="56" t="s">
        <v>9</v>
      </c>
      <c r="C283" s="57" t="s">
        <v>425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472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56" t="s">
        <v>9</v>
      </c>
      <c r="C284" s="57" t="s">
        <v>427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473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24" customHeight="1">
      <c r="A285" s="39"/>
      <c r="B285" s="56" t="s">
        <v>9</v>
      </c>
      <c r="C285" s="57" t="s">
        <v>429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474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24" customHeight="1">
      <c r="A286" s="39"/>
      <c r="B286" s="44" t="s">
        <v>475</v>
      </c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5" t="s">
        <v>476</v>
      </c>
      <c r="W286" s="45"/>
      <c r="X286" s="45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47" t="s">
        <v>413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8" t="s">
        <v>9</v>
      </c>
      <c r="W287" s="48"/>
      <c r="X287" s="48"/>
      <c r="Y287" s="49" t="s">
        <v>9</v>
      </c>
      <c r="Z287" s="49"/>
      <c r="AA287" s="49"/>
      <c r="AB287" s="49"/>
      <c r="AC287" s="49" t="s">
        <v>9</v>
      </c>
      <c r="AD287" s="49"/>
      <c r="AE287" s="49"/>
      <c r="AF287" s="49" t="s">
        <v>9</v>
      </c>
      <c r="AG287" s="49"/>
      <c r="AH287" s="49"/>
      <c r="AI287" s="49" t="s">
        <v>9</v>
      </c>
      <c r="AJ287" s="49"/>
      <c r="AK287" s="49" t="s">
        <v>9</v>
      </c>
      <c r="AL287" s="49"/>
      <c r="AM287" s="49"/>
      <c r="AN287" s="49"/>
      <c r="AO287" s="49" t="s">
        <v>9</v>
      </c>
      <c r="AP287" s="49"/>
      <c r="AQ287" s="49"/>
      <c r="AR287" s="49" t="s">
        <v>9</v>
      </c>
      <c r="AS287" s="49"/>
      <c r="AT287" s="49"/>
      <c r="AU287" s="49" t="s">
        <v>9</v>
      </c>
      <c r="AV287" s="49"/>
      <c r="AW287" s="49"/>
      <c r="AX287" s="49" t="s">
        <v>9</v>
      </c>
      <c r="AY287" s="49"/>
      <c r="AZ287" s="49" t="s">
        <v>9</v>
      </c>
      <c r="BA287" s="49"/>
      <c r="BB287" s="49"/>
      <c r="BC287" s="49"/>
      <c r="BD287" s="49"/>
      <c r="BE287" s="50" t="s">
        <v>9</v>
      </c>
      <c r="BF287" s="50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1" t="s">
        <v>9</v>
      </c>
      <c r="C288" s="52" t="s">
        <v>414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3" t="s">
        <v>477</v>
      </c>
      <c r="W288" s="53"/>
      <c r="X288" s="53"/>
      <c r="Y288" s="54" t="s">
        <v>74</v>
      </c>
      <c r="Z288" s="54"/>
      <c r="AA288" s="54"/>
      <c r="AB288" s="54"/>
      <c r="AC288" s="54" t="s">
        <v>74</v>
      </c>
      <c r="AD288" s="54"/>
      <c r="AE288" s="54"/>
      <c r="AF288" s="54" t="s">
        <v>74</v>
      </c>
      <c r="AG288" s="54"/>
      <c r="AH288" s="54"/>
      <c r="AI288" s="54" t="s">
        <v>74</v>
      </c>
      <c r="AJ288" s="54"/>
      <c r="AK288" s="54" t="s">
        <v>74</v>
      </c>
      <c r="AL288" s="54"/>
      <c r="AM288" s="54"/>
      <c r="AN288" s="54"/>
      <c r="AO288" s="54" t="s">
        <v>74</v>
      </c>
      <c r="AP288" s="54"/>
      <c r="AQ288" s="54"/>
      <c r="AR288" s="54" t="s">
        <v>74</v>
      </c>
      <c r="AS288" s="54"/>
      <c r="AT288" s="54"/>
      <c r="AU288" s="54" t="s">
        <v>74</v>
      </c>
      <c r="AV288" s="54"/>
      <c r="AW288" s="54"/>
      <c r="AX288" s="54" t="s">
        <v>74</v>
      </c>
      <c r="AY288" s="54"/>
      <c r="AZ288" s="54" t="s">
        <v>74</v>
      </c>
      <c r="BA288" s="54"/>
      <c r="BB288" s="54"/>
      <c r="BC288" s="54"/>
      <c r="BD288" s="54"/>
      <c r="BE288" s="55" t="s">
        <v>74</v>
      </c>
      <c r="BF288" s="55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6" t="s">
        <v>9</v>
      </c>
      <c r="C289" s="57" t="s">
        <v>416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478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418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479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6" t="s">
        <v>9</v>
      </c>
      <c r="C291" s="57" t="s">
        <v>178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480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56" t="s">
        <v>9</v>
      </c>
      <c r="C292" s="57" t="s">
        <v>421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481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24" customHeight="1">
      <c r="A293" s="39"/>
      <c r="B293" s="56" t="s">
        <v>9</v>
      </c>
      <c r="C293" s="57" t="s">
        <v>423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482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24" customHeight="1">
      <c r="A294" s="39"/>
      <c r="B294" s="56" t="s">
        <v>9</v>
      </c>
      <c r="C294" s="57" t="s">
        <v>425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483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56" t="s">
        <v>9</v>
      </c>
      <c r="C295" s="57" t="s">
        <v>427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484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24" customHeight="1">
      <c r="A296" s="39"/>
      <c r="B296" s="56" t="s">
        <v>9</v>
      </c>
      <c r="C296" s="57" t="s">
        <v>429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485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44" t="s">
        <v>486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5" t="s">
        <v>487</v>
      </c>
      <c r="W297" s="45"/>
      <c r="X297" s="45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47" t="s">
        <v>413</v>
      </c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8" t="s">
        <v>9</v>
      </c>
      <c r="W298" s="48"/>
      <c r="X298" s="48"/>
      <c r="Y298" s="49" t="s">
        <v>9</v>
      </c>
      <c r="Z298" s="49"/>
      <c r="AA298" s="49"/>
      <c r="AB298" s="49"/>
      <c r="AC298" s="49" t="s">
        <v>9</v>
      </c>
      <c r="AD298" s="49"/>
      <c r="AE298" s="49"/>
      <c r="AF298" s="49" t="s">
        <v>9</v>
      </c>
      <c r="AG298" s="49"/>
      <c r="AH298" s="49"/>
      <c r="AI298" s="49" t="s">
        <v>9</v>
      </c>
      <c r="AJ298" s="49"/>
      <c r="AK298" s="49" t="s">
        <v>9</v>
      </c>
      <c r="AL298" s="49"/>
      <c r="AM298" s="49"/>
      <c r="AN298" s="49"/>
      <c r="AO298" s="49" t="s">
        <v>9</v>
      </c>
      <c r="AP298" s="49"/>
      <c r="AQ298" s="49"/>
      <c r="AR298" s="49" t="s">
        <v>9</v>
      </c>
      <c r="AS298" s="49"/>
      <c r="AT298" s="49"/>
      <c r="AU298" s="49" t="s">
        <v>9</v>
      </c>
      <c r="AV298" s="49"/>
      <c r="AW298" s="49"/>
      <c r="AX298" s="49" t="s">
        <v>9</v>
      </c>
      <c r="AY298" s="49"/>
      <c r="AZ298" s="49" t="s">
        <v>9</v>
      </c>
      <c r="BA298" s="49"/>
      <c r="BB298" s="49"/>
      <c r="BC298" s="49"/>
      <c r="BD298" s="49"/>
      <c r="BE298" s="50" t="s">
        <v>9</v>
      </c>
      <c r="BF298" s="50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1" t="s">
        <v>9</v>
      </c>
      <c r="C299" s="52" t="s">
        <v>414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3" t="s">
        <v>488</v>
      </c>
      <c r="W299" s="53"/>
      <c r="X299" s="53"/>
      <c r="Y299" s="54" t="s">
        <v>74</v>
      </c>
      <c r="Z299" s="54"/>
      <c r="AA299" s="54"/>
      <c r="AB299" s="54"/>
      <c r="AC299" s="54" t="s">
        <v>74</v>
      </c>
      <c r="AD299" s="54"/>
      <c r="AE299" s="54"/>
      <c r="AF299" s="54" t="s">
        <v>74</v>
      </c>
      <c r="AG299" s="54"/>
      <c r="AH299" s="54"/>
      <c r="AI299" s="54" t="s">
        <v>74</v>
      </c>
      <c r="AJ299" s="54"/>
      <c r="AK299" s="54" t="s">
        <v>74</v>
      </c>
      <c r="AL299" s="54"/>
      <c r="AM299" s="54"/>
      <c r="AN299" s="54"/>
      <c r="AO299" s="54" t="s">
        <v>74</v>
      </c>
      <c r="AP299" s="54"/>
      <c r="AQ299" s="54"/>
      <c r="AR299" s="54" t="s">
        <v>74</v>
      </c>
      <c r="AS299" s="54"/>
      <c r="AT299" s="54"/>
      <c r="AU299" s="54" t="s">
        <v>74</v>
      </c>
      <c r="AV299" s="54"/>
      <c r="AW299" s="54"/>
      <c r="AX299" s="54" t="s">
        <v>74</v>
      </c>
      <c r="AY299" s="54"/>
      <c r="AZ299" s="54" t="s">
        <v>74</v>
      </c>
      <c r="BA299" s="54"/>
      <c r="BB299" s="54"/>
      <c r="BC299" s="54"/>
      <c r="BD299" s="54"/>
      <c r="BE299" s="55" t="s">
        <v>74</v>
      </c>
      <c r="BF299" s="55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6" t="s">
        <v>9</v>
      </c>
      <c r="C300" s="57" t="s">
        <v>416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489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418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490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6" t="s">
        <v>9</v>
      </c>
      <c r="C302" s="57" t="s">
        <v>178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491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13.5" customHeight="1">
      <c r="A303" s="39"/>
      <c r="B303" s="56" t="s">
        <v>9</v>
      </c>
      <c r="C303" s="57" t="s">
        <v>421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492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24" customHeight="1">
      <c r="A304" s="39"/>
      <c r="B304" s="56" t="s">
        <v>9</v>
      </c>
      <c r="C304" s="57" t="s">
        <v>423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493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24" customHeight="1">
      <c r="A305" s="39"/>
      <c r="B305" s="56" t="s">
        <v>9</v>
      </c>
      <c r="C305" s="57" t="s">
        <v>425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494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56" t="s">
        <v>9</v>
      </c>
      <c r="C306" s="57" t="s">
        <v>427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495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24" customHeight="1">
      <c r="A307" s="39"/>
      <c r="B307" s="56" t="s">
        <v>9</v>
      </c>
      <c r="C307" s="57" t="s">
        <v>429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496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44" t="s">
        <v>497</v>
      </c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5" t="s">
        <v>498</v>
      </c>
      <c r="W308" s="45"/>
      <c r="X308" s="45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47" t="s">
        <v>413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8" t="s">
        <v>9</v>
      </c>
      <c r="W309" s="48"/>
      <c r="X309" s="48"/>
      <c r="Y309" s="49" t="s">
        <v>9</v>
      </c>
      <c r="Z309" s="49"/>
      <c r="AA309" s="49"/>
      <c r="AB309" s="49"/>
      <c r="AC309" s="49" t="s">
        <v>9</v>
      </c>
      <c r="AD309" s="49"/>
      <c r="AE309" s="49"/>
      <c r="AF309" s="49" t="s">
        <v>9</v>
      </c>
      <c r="AG309" s="49"/>
      <c r="AH309" s="49"/>
      <c r="AI309" s="49" t="s">
        <v>9</v>
      </c>
      <c r="AJ309" s="49"/>
      <c r="AK309" s="49" t="s">
        <v>9</v>
      </c>
      <c r="AL309" s="49"/>
      <c r="AM309" s="49"/>
      <c r="AN309" s="49"/>
      <c r="AO309" s="49" t="s">
        <v>9</v>
      </c>
      <c r="AP309" s="49"/>
      <c r="AQ309" s="49"/>
      <c r="AR309" s="49" t="s">
        <v>9</v>
      </c>
      <c r="AS309" s="49"/>
      <c r="AT309" s="49"/>
      <c r="AU309" s="49" t="s">
        <v>9</v>
      </c>
      <c r="AV309" s="49"/>
      <c r="AW309" s="49"/>
      <c r="AX309" s="49" t="s">
        <v>9</v>
      </c>
      <c r="AY309" s="49"/>
      <c r="AZ309" s="49" t="s">
        <v>9</v>
      </c>
      <c r="BA309" s="49"/>
      <c r="BB309" s="49"/>
      <c r="BC309" s="49"/>
      <c r="BD309" s="49"/>
      <c r="BE309" s="50" t="s">
        <v>9</v>
      </c>
      <c r="BF309" s="50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1" t="s">
        <v>9</v>
      </c>
      <c r="C310" s="52" t="s">
        <v>414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3" t="s">
        <v>499</v>
      </c>
      <c r="W310" s="53"/>
      <c r="X310" s="53"/>
      <c r="Y310" s="54" t="s">
        <v>74</v>
      </c>
      <c r="Z310" s="54"/>
      <c r="AA310" s="54"/>
      <c r="AB310" s="54"/>
      <c r="AC310" s="54" t="s">
        <v>74</v>
      </c>
      <c r="AD310" s="54"/>
      <c r="AE310" s="54"/>
      <c r="AF310" s="54" t="s">
        <v>74</v>
      </c>
      <c r="AG310" s="54"/>
      <c r="AH310" s="54"/>
      <c r="AI310" s="54" t="s">
        <v>74</v>
      </c>
      <c r="AJ310" s="54"/>
      <c r="AK310" s="54" t="s">
        <v>74</v>
      </c>
      <c r="AL310" s="54"/>
      <c r="AM310" s="54"/>
      <c r="AN310" s="54"/>
      <c r="AO310" s="54" t="s">
        <v>74</v>
      </c>
      <c r="AP310" s="54"/>
      <c r="AQ310" s="54"/>
      <c r="AR310" s="54" t="s">
        <v>74</v>
      </c>
      <c r="AS310" s="54"/>
      <c r="AT310" s="54"/>
      <c r="AU310" s="54" t="s">
        <v>74</v>
      </c>
      <c r="AV310" s="54"/>
      <c r="AW310" s="54"/>
      <c r="AX310" s="54" t="s">
        <v>74</v>
      </c>
      <c r="AY310" s="54"/>
      <c r="AZ310" s="54" t="s">
        <v>74</v>
      </c>
      <c r="BA310" s="54"/>
      <c r="BB310" s="54"/>
      <c r="BC310" s="54"/>
      <c r="BD310" s="54"/>
      <c r="BE310" s="55" t="s">
        <v>74</v>
      </c>
      <c r="BF310" s="55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6" t="s">
        <v>9</v>
      </c>
      <c r="C311" s="57" t="s">
        <v>416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500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418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501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6" t="s">
        <v>9</v>
      </c>
      <c r="C313" s="57" t="s">
        <v>178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502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56" t="s">
        <v>9</v>
      </c>
      <c r="C314" s="57" t="s">
        <v>421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503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24" customHeight="1">
      <c r="A315" s="39"/>
      <c r="B315" s="56" t="s">
        <v>9</v>
      </c>
      <c r="C315" s="57" t="s">
        <v>423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504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24" customHeight="1">
      <c r="A316" s="39"/>
      <c r="B316" s="56" t="s">
        <v>9</v>
      </c>
      <c r="C316" s="57" t="s">
        <v>425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505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56" t="s">
        <v>9</v>
      </c>
      <c r="C317" s="57" t="s">
        <v>427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506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24" customHeight="1">
      <c r="A318" s="39"/>
      <c r="B318" s="56" t="s">
        <v>9</v>
      </c>
      <c r="C318" s="57" t="s">
        <v>429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507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44" t="s">
        <v>508</v>
      </c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5" t="s">
        <v>509</v>
      </c>
      <c r="W319" s="45"/>
      <c r="X319" s="45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4">
        <f>28173</f>
        <v>28173</v>
      </c>
      <c r="AS319" s="24"/>
      <c r="AT319" s="24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59">
        <f>28173</f>
        <v>28173</v>
      </c>
      <c r="BF319" s="5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47" t="s">
        <v>413</v>
      </c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8" t="s">
        <v>9</v>
      </c>
      <c r="W320" s="48"/>
      <c r="X320" s="48"/>
      <c r="Y320" s="49" t="s">
        <v>9</v>
      </c>
      <c r="Z320" s="49"/>
      <c r="AA320" s="49"/>
      <c r="AB320" s="49"/>
      <c r="AC320" s="49" t="s">
        <v>9</v>
      </c>
      <c r="AD320" s="49"/>
      <c r="AE320" s="49"/>
      <c r="AF320" s="49" t="s">
        <v>9</v>
      </c>
      <c r="AG320" s="49"/>
      <c r="AH320" s="49"/>
      <c r="AI320" s="49" t="s">
        <v>9</v>
      </c>
      <c r="AJ320" s="49"/>
      <c r="AK320" s="49" t="s">
        <v>9</v>
      </c>
      <c r="AL320" s="49"/>
      <c r="AM320" s="49"/>
      <c r="AN320" s="49"/>
      <c r="AO320" s="49" t="s">
        <v>9</v>
      </c>
      <c r="AP320" s="49"/>
      <c r="AQ320" s="49"/>
      <c r="AR320" s="49" t="s">
        <v>9</v>
      </c>
      <c r="AS320" s="49"/>
      <c r="AT320" s="49"/>
      <c r="AU320" s="49" t="s">
        <v>9</v>
      </c>
      <c r="AV320" s="49"/>
      <c r="AW320" s="49"/>
      <c r="AX320" s="49" t="s">
        <v>9</v>
      </c>
      <c r="AY320" s="49"/>
      <c r="AZ320" s="49" t="s">
        <v>9</v>
      </c>
      <c r="BA320" s="49"/>
      <c r="BB320" s="49"/>
      <c r="BC320" s="49"/>
      <c r="BD320" s="49"/>
      <c r="BE320" s="50" t="s">
        <v>9</v>
      </c>
      <c r="BF320" s="50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51" t="s">
        <v>9</v>
      </c>
      <c r="C321" s="52" t="s">
        <v>414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3" t="s">
        <v>510</v>
      </c>
      <c r="W321" s="53"/>
      <c r="X321" s="53"/>
      <c r="Y321" s="54" t="s">
        <v>74</v>
      </c>
      <c r="Z321" s="54"/>
      <c r="AA321" s="54"/>
      <c r="AB321" s="54"/>
      <c r="AC321" s="54" t="s">
        <v>74</v>
      </c>
      <c r="AD321" s="54"/>
      <c r="AE321" s="54"/>
      <c r="AF321" s="54" t="s">
        <v>74</v>
      </c>
      <c r="AG321" s="54"/>
      <c r="AH321" s="54"/>
      <c r="AI321" s="54" t="s">
        <v>74</v>
      </c>
      <c r="AJ321" s="54"/>
      <c r="AK321" s="54" t="s">
        <v>74</v>
      </c>
      <c r="AL321" s="54"/>
      <c r="AM321" s="54"/>
      <c r="AN321" s="54"/>
      <c r="AO321" s="54" t="s">
        <v>74</v>
      </c>
      <c r="AP321" s="54"/>
      <c r="AQ321" s="54"/>
      <c r="AR321" s="54" t="s">
        <v>74</v>
      </c>
      <c r="AS321" s="54"/>
      <c r="AT321" s="54"/>
      <c r="AU321" s="54" t="s">
        <v>74</v>
      </c>
      <c r="AV321" s="54"/>
      <c r="AW321" s="54"/>
      <c r="AX321" s="54" t="s">
        <v>74</v>
      </c>
      <c r="AY321" s="54"/>
      <c r="AZ321" s="54" t="s">
        <v>74</v>
      </c>
      <c r="BA321" s="54"/>
      <c r="BB321" s="54"/>
      <c r="BC321" s="54"/>
      <c r="BD321" s="54"/>
      <c r="BE321" s="55" t="s">
        <v>74</v>
      </c>
      <c r="BF321" s="55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56" t="s">
        <v>9</v>
      </c>
      <c r="C322" s="57" t="s">
        <v>416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511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418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512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56" t="s">
        <v>9</v>
      </c>
      <c r="C324" s="57" t="s">
        <v>178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513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4">
        <f>28173</f>
        <v>28173</v>
      </c>
      <c r="AS324" s="24"/>
      <c r="AT324" s="24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59">
        <f>28173</f>
        <v>28173</v>
      </c>
      <c r="BF324" s="5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56" t="s">
        <v>9</v>
      </c>
      <c r="C325" s="57" t="s">
        <v>421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514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24" customHeight="1">
      <c r="A326" s="39"/>
      <c r="B326" s="56" t="s">
        <v>9</v>
      </c>
      <c r="C326" s="57" t="s">
        <v>423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515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24" customHeight="1">
      <c r="A327" s="39"/>
      <c r="B327" s="56" t="s">
        <v>9</v>
      </c>
      <c r="C327" s="57" t="s">
        <v>425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516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56" t="s">
        <v>9</v>
      </c>
      <c r="C328" s="57" t="s">
        <v>427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517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24" customHeight="1">
      <c r="A329" s="39"/>
      <c r="B329" s="56" t="s">
        <v>9</v>
      </c>
      <c r="C329" s="57" t="s">
        <v>429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518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44" t="s">
        <v>519</v>
      </c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5" t="s">
        <v>520</v>
      </c>
      <c r="W330" s="45"/>
      <c r="X330" s="45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47" t="s">
        <v>413</v>
      </c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8" t="s">
        <v>9</v>
      </c>
      <c r="W331" s="48"/>
      <c r="X331" s="48"/>
      <c r="Y331" s="49" t="s">
        <v>9</v>
      </c>
      <c r="Z331" s="49"/>
      <c r="AA331" s="49"/>
      <c r="AB331" s="49"/>
      <c r="AC331" s="49" t="s">
        <v>9</v>
      </c>
      <c r="AD331" s="49"/>
      <c r="AE331" s="49"/>
      <c r="AF331" s="49" t="s">
        <v>9</v>
      </c>
      <c r="AG331" s="49"/>
      <c r="AH331" s="49"/>
      <c r="AI331" s="49" t="s">
        <v>9</v>
      </c>
      <c r="AJ331" s="49"/>
      <c r="AK331" s="49" t="s">
        <v>9</v>
      </c>
      <c r="AL331" s="49"/>
      <c r="AM331" s="49"/>
      <c r="AN331" s="49"/>
      <c r="AO331" s="49" t="s">
        <v>9</v>
      </c>
      <c r="AP331" s="49"/>
      <c r="AQ331" s="49"/>
      <c r="AR331" s="49" t="s">
        <v>9</v>
      </c>
      <c r="AS331" s="49"/>
      <c r="AT331" s="49"/>
      <c r="AU331" s="49" t="s">
        <v>9</v>
      </c>
      <c r="AV331" s="49"/>
      <c r="AW331" s="49"/>
      <c r="AX331" s="49" t="s">
        <v>9</v>
      </c>
      <c r="AY331" s="49"/>
      <c r="AZ331" s="49" t="s">
        <v>9</v>
      </c>
      <c r="BA331" s="49"/>
      <c r="BB331" s="49"/>
      <c r="BC331" s="49"/>
      <c r="BD331" s="49"/>
      <c r="BE331" s="50" t="s">
        <v>9</v>
      </c>
      <c r="BF331" s="50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51" t="s">
        <v>9</v>
      </c>
      <c r="C332" s="52" t="s">
        <v>414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3" t="s">
        <v>521</v>
      </c>
      <c r="W332" s="53"/>
      <c r="X332" s="53"/>
      <c r="Y332" s="54" t="s">
        <v>74</v>
      </c>
      <c r="Z332" s="54"/>
      <c r="AA332" s="54"/>
      <c r="AB332" s="54"/>
      <c r="AC332" s="54" t="s">
        <v>74</v>
      </c>
      <c r="AD332" s="54"/>
      <c r="AE332" s="54"/>
      <c r="AF332" s="54" t="s">
        <v>74</v>
      </c>
      <c r="AG332" s="54"/>
      <c r="AH332" s="54"/>
      <c r="AI332" s="54" t="s">
        <v>74</v>
      </c>
      <c r="AJ332" s="54"/>
      <c r="AK332" s="54" t="s">
        <v>74</v>
      </c>
      <c r="AL332" s="54"/>
      <c r="AM332" s="54"/>
      <c r="AN332" s="54"/>
      <c r="AO332" s="54" t="s">
        <v>74</v>
      </c>
      <c r="AP332" s="54"/>
      <c r="AQ332" s="54"/>
      <c r="AR332" s="54" t="s">
        <v>74</v>
      </c>
      <c r="AS332" s="54"/>
      <c r="AT332" s="54"/>
      <c r="AU332" s="54" t="s">
        <v>74</v>
      </c>
      <c r="AV332" s="54"/>
      <c r="AW332" s="54"/>
      <c r="AX332" s="54" t="s">
        <v>74</v>
      </c>
      <c r="AY332" s="54"/>
      <c r="AZ332" s="54" t="s">
        <v>74</v>
      </c>
      <c r="BA332" s="54"/>
      <c r="BB332" s="54"/>
      <c r="BC332" s="54"/>
      <c r="BD332" s="54"/>
      <c r="BE332" s="55" t="s">
        <v>74</v>
      </c>
      <c r="BF332" s="55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56" t="s">
        <v>9</v>
      </c>
      <c r="C333" s="57" t="s">
        <v>416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522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418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523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39"/>
      <c r="B335" s="56" t="s">
        <v>9</v>
      </c>
      <c r="C335" s="57" t="s">
        <v>178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524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56" t="s">
        <v>9</v>
      </c>
      <c r="C336" s="57" t="s">
        <v>421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525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24" customHeight="1">
      <c r="A337" s="39"/>
      <c r="B337" s="56" t="s">
        <v>9</v>
      </c>
      <c r="C337" s="57" t="s">
        <v>423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526</v>
      </c>
      <c r="W337" s="58"/>
      <c r="X337" s="58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24" customHeight="1">
      <c r="A338" s="39"/>
      <c r="B338" s="56" t="s">
        <v>9</v>
      </c>
      <c r="C338" s="57" t="s">
        <v>425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527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5" t="s">
        <v>74</v>
      </c>
      <c r="AS338" s="25"/>
      <c r="AT338" s="25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46" t="s">
        <v>74</v>
      </c>
      <c r="BF338" s="46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56" t="s">
        <v>9</v>
      </c>
      <c r="C339" s="57" t="s">
        <v>427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528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24" customHeight="1">
      <c r="A340" s="39"/>
      <c r="B340" s="56" t="s">
        <v>9</v>
      </c>
      <c r="C340" s="57" t="s">
        <v>429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60" t="s">
        <v>529</v>
      </c>
      <c r="W340" s="60"/>
      <c r="X340" s="60"/>
      <c r="Y340" s="61" t="s">
        <v>74</v>
      </c>
      <c r="Z340" s="61"/>
      <c r="AA340" s="61"/>
      <c r="AB340" s="61"/>
      <c r="AC340" s="61" t="s">
        <v>74</v>
      </c>
      <c r="AD340" s="61"/>
      <c r="AE340" s="61"/>
      <c r="AF340" s="61" t="s">
        <v>74</v>
      </c>
      <c r="AG340" s="61"/>
      <c r="AH340" s="61"/>
      <c r="AI340" s="61" t="s">
        <v>74</v>
      </c>
      <c r="AJ340" s="61"/>
      <c r="AK340" s="61" t="s">
        <v>74</v>
      </c>
      <c r="AL340" s="61"/>
      <c r="AM340" s="61"/>
      <c r="AN340" s="61"/>
      <c r="AO340" s="61" t="s">
        <v>74</v>
      </c>
      <c r="AP340" s="61"/>
      <c r="AQ340" s="61"/>
      <c r="AR340" s="61" t="s">
        <v>74</v>
      </c>
      <c r="AS340" s="61"/>
      <c r="AT340" s="61"/>
      <c r="AU340" s="61" t="s">
        <v>74</v>
      </c>
      <c r="AV340" s="61"/>
      <c r="AW340" s="61"/>
      <c r="AX340" s="61" t="s">
        <v>74</v>
      </c>
      <c r="AY340" s="61"/>
      <c r="AZ340" s="61" t="s">
        <v>74</v>
      </c>
      <c r="BA340" s="61"/>
      <c r="BB340" s="61"/>
      <c r="BC340" s="61"/>
      <c r="BD340" s="61"/>
      <c r="BE340" s="62" t="s">
        <v>74</v>
      </c>
      <c r="BF340" s="62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29" t="s">
        <v>9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8" t="s">
        <v>530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63" t="s">
        <v>9</v>
      </c>
      <c r="O343" s="63"/>
      <c r="P343" s="63"/>
      <c r="Q343" s="63"/>
      <c r="R343" s="63"/>
      <c r="S343" s="63" t="s">
        <v>531</v>
      </c>
      <c r="T343" s="63"/>
      <c r="U343" s="63"/>
      <c r="V343" s="63"/>
      <c r="W343" s="63"/>
      <c r="X343" s="63"/>
      <c r="Y343" s="63"/>
      <c r="Z343" s="63"/>
      <c r="AA343" s="29" t="s">
        <v>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29" t="s">
        <v>9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64" t="s">
        <v>9</v>
      </c>
      <c r="O344" s="65" t="s">
        <v>532</v>
      </c>
      <c r="P344" s="65"/>
      <c r="Q344" s="65"/>
      <c r="R344" s="64" t="s">
        <v>9</v>
      </c>
      <c r="S344" s="64" t="s">
        <v>9</v>
      </c>
      <c r="T344" s="65" t="s">
        <v>533</v>
      </c>
      <c r="U344" s="65"/>
      <c r="V344" s="65"/>
      <c r="W344" s="65"/>
      <c r="X344" s="65"/>
      <c r="Y344" s="65"/>
      <c r="Z344" s="29" t="s">
        <v>9</v>
      </c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7.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8" t="s">
        <v>534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63" t="s">
        <v>9</v>
      </c>
      <c r="O346" s="63"/>
      <c r="P346" s="63"/>
      <c r="Q346" s="63"/>
      <c r="R346" s="63"/>
      <c r="S346" s="63" t="s">
        <v>535</v>
      </c>
      <c r="T346" s="63"/>
      <c r="U346" s="63"/>
      <c r="V346" s="63"/>
      <c r="W346" s="63"/>
      <c r="X346" s="63"/>
      <c r="Y346" s="63"/>
      <c r="Z346" s="63"/>
      <c r="AA346" s="29" t="s">
        <v>9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29" t="s">
        <v>9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64" t="s">
        <v>9</v>
      </c>
      <c r="O347" s="65" t="s">
        <v>532</v>
      </c>
      <c r="P347" s="65"/>
      <c r="Q347" s="65"/>
      <c r="R347" s="64" t="s">
        <v>9</v>
      </c>
      <c r="S347" s="64" t="s">
        <v>9</v>
      </c>
      <c r="T347" s="65" t="s">
        <v>533</v>
      </c>
      <c r="U347" s="65"/>
      <c r="V347" s="65"/>
      <c r="W347" s="65"/>
      <c r="X347" s="65"/>
      <c r="Y347" s="65"/>
      <c r="Z347" s="29" t="s">
        <v>9</v>
      </c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7.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8" t="s">
        <v>536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63" t="s">
        <v>9</v>
      </c>
      <c r="O349" s="63"/>
      <c r="P349" s="63"/>
      <c r="Q349" s="63"/>
      <c r="R349" s="63"/>
      <c r="S349" s="63" t="s">
        <v>537</v>
      </c>
      <c r="T349" s="63"/>
      <c r="U349" s="63"/>
      <c r="V349" s="63"/>
      <c r="W349" s="63"/>
      <c r="X349" s="63"/>
      <c r="Y349" s="63"/>
      <c r="Z349" s="63"/>
      <c r="AA349" s="29" t="s">
        <v>9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29" t="s">
        <v>9</v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64" t="s">
        <v>9</v>
      </c>
      <c r="O350" s="65" t="s">
        <v>532</v>
      </c>
      <c r="P350" s="65"/>
      <c r="Q350" s="65"/>
      <c r="R350" s="64" t="s">
        <v>9</v>
      </c>
      <c r="S350" s="64" t="s">
        <v>9</v>
      </c>
      <c r="T350" s="65" t="s">
        <v>533</v>
      </c>
      <c r="U350" s="65"/>
      <c r="V350" s="65"/>
      <c r="W350" s="65"/>
      <c r="X350" s="65"/>
      <c r="Y350" s="65"/>
      <c r="Z350" s="29" t="s">
        <v>9</v>
      </c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7.5" customHeight="1">
      <c r="A351" s="29" t="s">
        <v>9</v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8" t="s">
        <v>538</v>
      </c>
      <c r="B352" s="8"/>
      <c r="C352" s="8"/>
      <c r="D352" s="8"/>
      <c r="E352" s="63" t="s">
        <v>534</v>
      </c>
      <c r="F352" s="63"/>
      <c r="G352" s="63"/>
      <c r="H352" s="63"/>
      <c r="I352" s="63"/>
      <c r="J352" s="63"/>
      <c r="K352" s="63"/>
      <c r="L352" s="63"/>
      <c r="M352" s="63"/>
      <c r="N352" s="63" t="s">
        <v>9</v>
      </c>
      <c r="O352" s="63"/>
      <c r="P352" s="63"/>
      <c r="Q352" s="63"/>
      <c r="R352" s="63"/>
      <c r="S352" s="63" t="s">
        <v>535</v>
      </c>
      <c r="T352" s="63"/>
      <c r="U352" s="63"/>
      <c r="V352" s="63"/>
      <c r="W352" s="63"/>
      <c r="X352" s="63"/>
      <c r="Y352" s="63"/>
      <c r="Z352" s="63"/>
      <c r="AA352" s="29" t="s">
        <v>9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29" t="s">
        <v>9</v>
      </c>
      <c r="B353" s="29"/>
      <c r="C353" s="29"/>
      <c r="D353" s="29"/>
      <c r="E353" s="64" t="s">
        <v>9</v>
      </c>
      <c r="F353" s="65" t="s">
        <v>539</v>
      </c>
      <c r="G353" s="65"/>
      <c r="H353" s="65"/>
      <c r="I353" s="65"/>
      <c r="J353" s="65"/>
      <c r="K353" s="65"/>
      <c r="L353" s="29" t="s">
        <v>9</v>
      </c>
      <c r="M353" s="29"/>
      <c r="N353" s="64" t="s">
        <v>9</v>
      </c>
      <c r="O353" s="65" t="s">
        <v>532</v>
      </c>
      <c r="P353" s="65"/>
      <c r="Q353" s="65"/>
      <c r="R353" s="64" t="s">
        <v>9</v>
      </c>
      <c r="S353" s="64" t="s">
        <v>9</v>
      </c>
      <c r="T353" s="65" t="s">
        <v>533</v>
      </c>
      <c r="U353" s="65"/>
      <c r="V353" s="65"/>
      <c r="W353" s="65"/>
      <c r="X353" s="65"/>
      <c r="Y353" s="65"/>
      <c r="Z353" s="29" t="s">
        <v>9</v>
      </c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5.75" customHeight="1">
      <c r="A354" s="29" t="s">
        <v>9</v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13.5" customHeight="1">
      <c r="A355" s="29" t="s">
        <v>9</v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66" t="s">
        <v>540</v>
      </c>
      <c r="B356" s="66"/>
      <c r="C356" s="66"/>
      <c r="D356" s="66"/>
      <c r="E356" s="66"/>
      <c r="F356" s="66"/>
      <c r="G356" s="66"/>
      <c r="H356" s="66"/>
      <c r="I356" s="66"/>
      <c r="J356" s="66"/>
      <c r="K356" s="29" t="s">
        <v>9</v>
      </c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13.5" customHeight="1">
      <c r="A357" s="67" t="s">
        <v>541</v>
      </c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</row>
  </sheetData>
  <sheetProtection/>
  <mergeCells count="5305">
    <mergeCell ref="A354:BT354"/>
    <mergeCell ref="A355:BT355"/>
    <mergeCell ref="A356:J356"/>
    <mergeCell ref="K356:BT356"/>
    <mergeCell ref="A357:BT357"/>
    <mergeCell ref="A353:D353"/>
    <mergeCell ref="F353:K353"/>
    <mergeCell ref="L353:M353"/>
    <mergeCell ref="O353:Q353"/>
    <mergeCell ref="T353:Y353"/>
    <mergeCell ref="Z353:BT353"/>
    <mergeCell ref="A350:M350"/>
    <mergeCell ref="O350:Q350"/>
    <mergeCell ref="T350:Y350"/>
    <mergeCell ref="Z350:BT350"/>
    <mergeCell ref="A351:BT351"/>
    <mergeCell ref="A352:D352"/>
    <mergeCell ref="E352:M352"/>
    <mergeCell ref="N352:R352"/>
    <mergeCell ref="S352:Z352"/>
    <mergeCell ref="AA352:BT352"/>
    <mergeCell ref="A347:M347"/>
    <mergeCell ref="O347:Q347"/>
    <mergeCell ref="T347:Y347"/>
    <mergeCell ref="Z347:BT347"/>
    <mergeCell ref="A348:BT348"/>
    <mergeCell ref="A349:M349"/>
    <mergeCell ref="N349:R349"/>
    <mergeCell ref="S349:Z349"/>
    <mergeCell ref="AA349:BT349"/>
    <mergeCell ref="A344:M344"/>
    <mergeCell ref="O344:Q344"/>
    <mergeCell ref="T344:Y344"/>
    <mergeCell ref="Z344:BT344"/>
    <mergeCell ref="A345:BT345"/>
    <mergeCell ref="A346:M346"/>
    <mergeCell ref="N346:R346"/>
    <mergeCell ref="S346:Z346"/>
    <mergeCell ref="AA346:BT346"/>
    <mergeCell ref="AZ340:BD340"/>
    <mergeCell ref="BE340:BF340"/>
    <mergeCell ref="BG227:BT340"/>
    <mergeCell ref="A341:BT341"/>
    <mergeCell ref="A342:BT342"/>
    <mergeCell ref="A343:M343"/>
    <mergeCell ref="N343:R343"/>
    <mergeCell ref="S343:Z343"/>
    <mergeCell ref="AA343:BT343"/>
    <mergeCell ref="AI340:AJ340"/>
    <mergeCell ref="AK340:AN340"/>
    <mergeCell ref="AO340:AQ340"/>
    <mergeCell ref="AR340:AT340"/>
    <mergeCell ref="AU340:AW340"/>
    <mergeCell ref="AX340:AY340"/>
    <mergeCell ref="AR339:AT339"/>
    <mergeCell ref="AU339:AW339"/>
    <mergeCell ref="AX339:AY339"/>
    <mergeCell ref="AZ339:BD339"/>
    <mergeCell ref="BE339:BF339"/>
    <mergeCell ref="C340:U340"/>
    <mergeCell ref="V340:X340"/>
    <mergeCell ref="Y340:AB340"/>
    <mergeCell ref="AC340:AE340"/>
    <mergeCell ref="AF340:AH340"/>
    <mergeCell ref="AZ338:BD338"/>
    <mergeCell ref="BE338:BF338"/>
    <mergeCell ref="C339:U339"/>
    <mergeCell ref="V339:X339"/>
    <mergeCell ref="Y339:AB339"/>
    <mergeCell ref="AC339:AE339"/>
    <mergeCell ref="AF339:AH339"/>
    <mergeCell ref="AI339:AJ339"/>
    <mergeCell ref="AK339:AN339"/>
    <mergeCell ref="AO339:AQ339"/>
    <mergeCell ref="AI338:AJ338"/>
    <mergeCell ref="AK338:AN338"/>
    <mergeCell ref="AO338:AQ338"/>
    <mergeCell ref="AR338:AT338"/>
    <mergeCell ref="AU338:AW338"/>
    <mergeCell ref="AX338:AY338"/>
    <mergeCell ref="AR337:AT337"/>
    <mergeCell ref="AU337:AW337"/>
    <mergeCell ref="AX337:AY337"/>
    <mergeCell ref="AZ337:BD337"/>
    <mergeCell ref="BE337:BF337"/>
    <mergeCell ref="C338:U338"/>
    <mergeCell ref="V338:X338"/>
    <mergeCell ref="Y338:AB338"/>
    <mergeCell ref="AC338:AE338"/>
    <mergeCell ref="AF338:AH338"/>
    <mergeCell ref="AZ336:BD336"/>
    <mergeCell ref="BE336:BF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I336:AJ336"/>
    <mergeCell ref="AK336:AN336"/>
    <mergeCell ref="AO336:AQ336"/>
    <mergeCell ref="AR336:AT336"/>
    <mergeCell ref="AU336:AW336"/>
    <mergeCell ref="AX336:AY336"/>
    <mergeCell ref="AR335:AT335"/>
    <mergeCell ref="AU335:AW335"/>
    <mergeCell ref="AX335:AY335"/>
    <mergeCell ref="AZ335:BD335"/>
    <mergeCell ref="BE335:BF335"/>
    <mergeCell ref="C336:U336"/>
    <mergeCell ref="V336:X336"/>
    <mergeCell ref="Y336:AB336"/>
    <mergeCell ref="AC336:AE336"/>
    <mergeCell ref="AF336:AH336"/>
    <mergeCell ref="AZ334:BD334"/>
    <mergeCell ref="BE334:BF334"/>
    <mergeCell ref="C335:U335"/>
    <mergeCell ref="V335:X335"/>
    <mergeCell ref="Y335:AB335"/>
    <mergeCell ref="AC335:AE335"/>
    <mergeCell ref="AF335:AH335"/>
    <mergeCell ref="AI335:AJ335"/>
    <mergeCell ref="AK335:AN335"/>
    <mergeCell ref="AO335:AQ335"/>
    <mergeCell ref="AI334:AJ334"/>
    <mergeCell ref="AK334:AN334"/>
    <mergeCell ref="AO334:AQ334"/>
    <mergeCell ref="AR334:AT334"/>
    <mergeCell ref="AU334:AW334"/>
    <mergeCell ref="AX334:AY334"/>
    <mergeCell ref="AR333:AT333"/>
    <mergeCell ref="AU333:AW333"/>
    <mergeCell ref="AX333:AY333"/>
    <mergeCell ref="AZ333:BD333"/>
    <mergeCell ref="BE333:BF333"/>
    <mergeCell ref="C334:U334"/>
    <mergeCell ref="V334:X334"/>
    <mergeCell ref="Y334:AB334"/>
    <mergeCell ref="AC334:AE334"/>
    <mergeCell ref="AF334:AH334"/>
    <mergeCell ref="AZ332:BD332"/>
    <mergeCell ref="BE332:BF332"/>
    <mergeCell ref="C333:U333"/>
    <mergeCell ref="V333:X333"/>
    <mergeCell ref="Y333:AB333"/>
    <mergeCell ref="AC333:AE333"/>
    <mergeCell ref="AF333:AH333"/>
    <mergeCell ref="AI333:AJ333"/>
    <mergeCell ref="AK333:AN333"/>
    <mergeCell ref="AO333:AQ333"/>
    <mergeCell ref="AI332:AJ332"/>
    <mergeCell ref="AK332:AN332"/>
    <mergeCell ref="AO332:AQ332"/>
    <mergeCell ref="AR332:AT332"/>
    <mergeCell ref="AU332:AW332"/>
    <mergeCell ref="AX332:AY332"/>
    <mergeCell ref="AR331:AT331"/>
    <mergeCell ref="AU331:AW331"/>
    <mergeCell ref="AX331:AY331"/>
    <mergeCell ref="AZ331:BD331"/>
    <mergeCell ref="BE331:BF331"/>
    <mergeCell ref="C332:U332"/>
    <mergeCell ref="V332:X332"/>
    <mergeCell ref="Y332:AB332"/>
    <mergeCell ref="AC332:AE332"/>
    <mergeCell ref="AF332:AH332"/>
    <mergeCell ref="AZ330:BD330"/>
    <mergeCell ref="BE330:BF330"/>
    <mergeCell ref="B331:U331"/>
    <mergeCell ref="V331:X331"/>
    <mergeCell ref="Y331:AB331"/>
    <mergeCell ref="AC331:AE331"/>
    <mergeCell ref="AF331:AH331"/>
    <mergeCell ref="AI331:AJ331"/>
    <mergeCell ref="AK331:AN331"/>
    <mergeCell ref="AO331:AQ331"/>
    <mergeCell ref="AI330:AJ330"/>
    <mergeCell ref="AK330:AN330"/>
    <mergeCell ref="AO330:AQ330"/>
    <mergeCell ref="AR330:AT330"/>
    <mergeCell ref="AU330:AW330"/>
    <mergeCell ref="AX330:AY330"/>
    <mergeCell ref="AR329:AT329"/>
    <mergeCell ref="AU329:AW329"/>
    <mergeCell ref="AX329:AY329"/>
    <mergeCell ref="AZ329:BD329"/>
    <mergeCell ref="BE329:BF329"/>
    <mergeCell ref="B330:U330"/>
    <mergeCell ref="V330:X330"/>
    <mergeCell ref="Y330:AB330"/>
    <mergeCell ref="AC330:AE330"/>
    <mergeCell ref="AF330:AH330"/>
    <mergeCell ref="AZ328:BD328"/>
    <mergeCell ref="BE328:BF328"/>
    <mergeCell ref="C329:U329"/>
    <mergeCell ref="V329:X329"/>
    <mergeCell ref="Y329:AB329"/>
    <mergeCell ref="AC329:AE329"/>
    <mergeCell ref="AF329:AH329"/>
    <mergeCell ref="AI329:AJ329"/>
    <mergeCell ref="AK329:AN329"/>
    <mergeCell ref="AO329:AQ329"/>
    <mergeCell ref="AI328:AJ328"/>
    <mergeCell ref="AK328:AN328"/>
    <mergeCell ref="AO328:AQ328"/>
    <mergeCell ref="AR328:AT328"/>
    <mergeCell ref="AU328:AW328"/>
    <mergeCell ref="AX328:AY328"/>
    <mergeCell ref="AR327:AT327"/>
    <mergeCell ref="AU327:AW327"/>
    <mergeCell ref="AX327:AY327"/>
    <mergeCell ref="AZ327:BD327"/>
    <mergeCell ref="BE327:BF327"/>
    <mergeCell ref="C328:U328"/>
    <mergeCell ref="V328:X328"/>
    <mergeCell ref="Y328:AB328"/>
    <mergeCell ref="AC328:AE328"/>
    <mergeCell ref="AF328:AH328"/>
    <mergeCell ref="AZ326:BD326"/>
    <mergeCell ref="BE326:BF326"/>
    <mergeCell ref="C327:U327"/>
    <mergeCell ref="V327:X327"/>
    <mergeCell ref="Y327:AB327"/>
    <mergeCell ref="AC327:AE327"/>
    <mergeCell ref="AF327:AH327"/>
    <mergeCell ref="AI327:AJ327"/>
    <mergeCell ref="AK327:AN327"/>
    <mergeCell ref="AO327:AQ327"/>
    <mergeCell ref="AI326:AJ326"/>
    <mergeCell ref="AK326:AN326"/>
    <mergeCell ref="AO326:AQ326"/>
    <mergeCell ref="AR326:AT326"/>
    <mergeCell ref="AU326:AW326"/>
    <mergeCell ref="AX326:AY326"/>
    <mergeCell ref="AR325:AT325"/>
    <mergeCell ref="AU325:AW325"/>
    <mergeCell ref="AX325:AY325"/>
    <mergeCell ref="AZ325:BD325"/>
    <mergeCell ref="BE325:BF325"/>
    <mergeCell ref="C326:U326"/>
    <mergeCell ref="V326:X326"/>
    <mergeCell ref="Y326:AB326"/>
    <mergeCell ref="AC326:AE326"/>
    <mergeCell ref="AF326:AH326"/>
    <mergeCell ref="AZ324:BD324"/>
    <mergeCell ref="BE324:BF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I324:AJ324"/>
    <mergeCell ref="AK324:AN324"/>
    <mergeCell ref="AO324:AQ324"/>
    <mergeCell ref="AR324:AT324"/>
    <mergeCell ref="AU324:AW324"/>
    <mergeCell ref="AX324:AY324"/>
    <mergeCell ref="AR323:AT323"/>
    <mergeCell ref="AU323:AW323"/>
    <mergeCell ref="AX323:AY323"/>
    <mergeCell ref="AZ323:BD323"/>
    <mergeCell ref="BE323:BF323"/>
    <mergeCell ref="C324:U324"/>
    <mergeCell ref="V324:X324"/>
    <mergeCell ref="Y324:AB324"/>
    <mergeCell ref="AC324:AE324"/>
    <mergeCell ref="AF324:AH324"/>
    <mergeCell ref="AZ322:BD322"/>
    <mergeCell ref="BE322:BF322"/>
    <mergeCell ref="C323:U323"/>
    <mergeCell ref="V323:X323"/>
    <mergeCell ref="Y323:AB323"/>
    <mergeCell ref="AC323:AE323"/>
    <mergeCell ref="AF323:AH323"/>
    <mergeCell ref="AI323:AJ323"/>
    <mergeCell ref="AK323:AN323"/>
    <mergeCell ref="AO323:AQ323"/>
    <mergeCell ref="AI322:AJ322"/>
    <mergeCell ref="AK322:AN322"/>
    <mergeCell ref="AO322:AQ322"/>
    <mergeCell ref="AR322:AT322"/>
    <mergeCell ref="AU322:AW322"/>
    <mergeCell ref="AX322:AY322"/>
    <mergeCell ref="AR321:AT321"/>
    <mergeCell ref="AU321:AW321"/>
    <mergeCell ref="AX321:AY321"/>
    <mergeCell ref="AZ321:BD321"/>
    <mergeCell ref="BE321:BF321"/>
    <mergeCell ref="C322:U322"/>
    <mergeCell ref="V322:X322"/>
    <mergeCell ref="Y322:AB322"/>
    <mergeCell ref="AC322:AE322"/>
    <mergeCell ref="AF322:AH322"/>
    <mergeCell ref="AZ320:BD320"/>
    <mergeCell ref="BE320:BF320"/>
    <mergeCell ref="C321:U321"/>
    <mergeCell ref="V321:X321"/>
    <mergeCell ref="Y321:AB321"/>
    <mergeCell ref="AC321:AE321"/>
    <mergeCell ref="AF321:AH321"/>
    <mergeCell ref="AI321:AJ321"/>
    <mergeCell ref="AK321:AN321"/>
    <mergeCell ref="AO321:AQ321"/>
    <mergeCell ref="AI320:AJ320"/>
    <mergeCell ref="AK320:AN320"/>
    <mergeCell ref="AO320:AQ320"/>
    <mergeCell ref="AR320:AT320"/>
    <mergeCell ref="AU320:AW320"/>
    <mergeCell ref="AX320:AY320"/>
    <mergeCell ref="AR319:AT319"/>
    <mergeCell ref="AU319:AW319"/>
    <mergeCell ref="AX319:AY319"/>
    <mergeCell ref="AZ319:BD319"/>
    <mergeCell ref="BE319:BF319"/>
    <mergeCell ref="B320:U320"/>
    <mergeCell ref="V320:X320"/>
    <mergeCell ref="Y320:AB320"/>
    <mergeCell ref="AC320:AE320"/>
    <mergeCell ref="AF320:AH320"/>
    <mergeCell ref="AZ318:BD318"/>
    <mergeCell ref="BE318:BF318"/>
    <mergeCell ref="B319:U319"/>
    <mergeCell ref="V319:X319"/>
    <mergeCell ref="Y319:AB319"/>
    <mergeCell ref="AC319:AE319"/>
    <mergeCell ref="AF319:AH319"/>
    <mergeCell ref="AI319:AJ319"/>
    <mergeCell ref="AK319:AN319"/>
    <mergeCell ref="AO319:AQ319"/>
    <mergeCell ref="AI318:AJ318"/>
    <mergeCell ref="AK318:AN318"/>
    <mergeCell ref="AO318:AQ318"/>
    <mergeCell ref="AR318:AT318"/>
    <mergeCell ref="AU318:AW318"/>
    <mergeCell ref="AX318:AY318"/>
    <mergeCell ref="AR317:AT317"/>
    <mergeCell ref="AU317:AW317"/>
    <mergeCell ref="AX317:AY317"/>
    <mergeCell ref="AZ317:BD317"/>
    <mergeCell ref="BE317:BF317"/>
    <mergeCell ref="C318:U318"/>
    <mergeCell ref="V318:X318"/>
    <mergeCell ref="Y318:AB318"/>
    <mergeCell ref="AC318:AE318"/>
    <mergeCell ref="AF318:AH318"/>
    <mergeCell ref="AZ316:BD316"/>
    <mergeCell ref="BE316:BF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I316:AJ316"/>
    <mergeCell ref="AK316:AN316"/>
    <mergeCell ref="AO316:AQ316"/>
    <mergeCell ref="AR316:AT316"/>
    <mergeCell ref="AU316:AW316"/>
    <mergeCell ref="AX316:AY316"/>
    <mergeCell ref="AR315:AT315"/>
    <mergeCell ref="AU315:AW315"/>
    <mergeCell ref="AX315:AY315"/>
    <mergeCell ref="AZ315:BD315"/>
    <mergeCell ref="BE315:BF315"/>
    <mergeCell ref="C316:U316"/>
    <mergeCell ref="V316:X316"/>
    <mergeCell ref="Y316:AB316"/>
    <mergeCell ref="AC316:AE316"/>
    <mergeCell ref="AF316:AH316"/>
    <mergeCell ref="AZ314:BD314"/>
    <mergeCell ref="BE314:BF314"/>
    <mergeCell ref="C315:U315"/>
    <mergeCell ref="V315:X315"/>
    <mergeCell ref="Y315:AB315"/>
    <mergeCell ref="AC315:AE315"/>
    <mergeCell ref="AF315:AH315"/>
    <mergeCell ref="AI315:AJ315"/>
    <mergeCell ref="AK315:AN315"/>
    <mergeCell ref="AO315:AQ315"/>
    <mergeCell ref="AI314:AJ314"/>
    <mergeCell ref="AK314:AN314"/>
    <mergeCell ref="AO314:AQ314"/>
    <mergeCell ref="AR314:AT314"/>
    <mergeCell ref="AU314:AW314"/>
    <mergeCell ref="AX314:AY314"/>
    <mergeCell ref="AR313:AT313"/>
    <mergeCell ref="AU313:AW313"/>
    <mergeCell ref="AX313:AY313"/>
    <mergeCell ref="AZ313:BD313"/>
    <mergeCell ref="BE313:BF313"/>
    <mergeCell ref="C314:U314"/>
    <mergeCell ref="V314:X314"/>
    <mergeCell ref="Y314:AB314"/>
    <mergeCell ref="AC314:AE314"/>
    <mergeCell ref="AF314:AH314"/>
    <mergeCell ref="AZ312:BD312"/>
    <mergeCell ref="BE312:BF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I312:AJ312"/>
    <mergeCell ref="AK312:AN312"/>
    <mergeCell ref="AO312:AQ312"/>
    <mergeCell ref="AR312:AT312"/>
    <mergeCell ref="AU312:AW312"/>
    <mergeCell ref="AX312:AY312"/>
    <mergeCell ref="AR311:AT311"/>
    <mergeCell ref="AU311:AW311"/>
    <mergeCell ref="AX311:AY311"/>
    <mergeCell ref="AZ311:BD311"/>
    <mergeCell ref="BE311:BF311"/>
    <mergeCell ref="C312:U312"/>
    <mergeCell ref="V312:X312"/>
    <mergeCell ref="Y312:AB312"/>
    <mergeCell ref="AC312:AE312"/>
    <mergeCell ref="AF312:AH312"/>
    <mergeCell ref="AZ310:BD310"/>
    <mergeCell ref="BE310:BF310"/>
    <mergeCell ref="C311:U311"/>
    <mergeCell ref="V311:X311"/>
    <mergeCell ref="Y311:AB311"/>
    <mergeCell ref="AC311:AE311"/>
    <mergeCell ref="AF311:AH311"/>
    <mergeCell ref="AI311:AJ311"/>
    <mergeCell ref="AK311:AN311"/>
    <mergeCell ref="AO311:AQ311"/>
    <mergeCell ref="AI310:AJ310"/>
    <mergeCell ref="AK310:AN310"/>
    <mergeCell ref="AO310:AQ310"/>
    <mergeCell ref="AR310:AT310"/>
    <mergeCell ref="AU310:AW310"/>
    <mergeCell ref="AX310:AY310"/>
    <mergeCell ref="AR309:AT309"/>
    <mergeCell ref="AU309:AW309"/>
    <mergeCell ref="AX309:AY309"/>
    <mergeCell ref="AZ309:BD309"/>
    <mergeCell ref="BE309:BF309"/>
    <mergeCell ref="C310:U310"/>
    <mergeCell ref="V310:X310"/>
    <mergeCell ref="Y310:AB310"/>
    <mergeCell ref="AC310:AE310"/>
    <mergeCell ref="AF310:AH310"/>
    <mergeCell ref="AZ308:BD308"/>
    <mergeCell ref="BE308:BF308"/>
    <mergeCell ref="B309:U309"/>
    <mergeCell ref="V309:X309"/>
    <mergeCell ref="Y309:AB309"/>
    <mergeCell ref="AC309:AE309"/>
    <mergeCell ref="AF309:AH309"/>
    <mergeCell ref="AI309:AJ309"/>
    <mergeCell ref="AK309:AN309"/>
    <mergeCell ref="AO309:AQ309"/>
    <mergeCell ref="AI308:AJ308"/>
    <mergeCell ref="AK308:AN308"/>
    <mergeCell ref="AO308:AQ308"/>
    <mergeCell ref="AR308:AT308"/>
    <mergeCell ref="AU308:AW308"/>
    <mergeCell ref="AX308:AY308"/>
    <mergeCell ref="AR307:AT307"/>
    <mergeCell ref="AU307:AW307"/>
    <mergeCell ref="AX307:AY307"/>
    <mergeCell ref="AZ307:BD307"/>
    <mergeCell ref="BE307:BF307"/>
    <mergeCell ref="B308:U308"/>
    <mergeCell ref="V308:X308"/>
    <mergeCell ref="Y308:AB308"/>
    <mergeCell ref="AC308:AE308"/>
    <mergeCell ref="AF308:AH308"/>
    <mergeCell ref="AZ306:BD306"/>
    <mergeCell ref="BE306:BF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I306:AJ306"/>
    <mergeCell ref="AK306:AN306"/>
    <mergeCell ref="AO306:AQ306"/>
    <mergeCell ref="AR306:AT306"/>
    <mergeCell ref="AU306:AW306"/>
    <mergeCell ref="AX306:AY306"/>
    <mergeCell ref="AR305:AT305"/>
    <mergeCell ref="AU305:AW305"/>
    <mergeCell ref="AX305:AY305"/>
    <mergeCell ref="AZ305:BD305"/>
    <mergeCell ref="BE305:BF305"/>
    <mergeCell ref="C306:U306"/>
    <mergeCell ref="V306:X306"/>
    <mergeCell ref="Y306:AB306"/>
    <mergeCell ref="AC306:AE306"/>
    <mergeCell ref="AF306:AH306"/>
    <mergeCell ref="AZ304:BD304"/>
    <mergeCell ref="BE304:BF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I304:AJ304"/>
    <mergeCell ref="AK304:AN304"/>
    <mergeCell ref="AO304:AQ304"/>
    <mergeCell ref="AR304:AT304"/>
    <mergeCell ref="AU304:AW304"/>
    <mergeCell ref="AX304:AY304"/>
    <mergeCell ref="AR303:AT303"/>
    <mergeCell ref="AU303:AW303"/>
    <mergeCell ref="AX303:AY303"/>
    <mergeCell ref="AZ303:BD303"/>
    <mergeCell ref="BE303:BF303"/>
    <mergeCell ref="C304:U304"/>
    <mergeCell ref="V304:X304"/>
    <mergeCell ref="Y304:AB304"/>
    <mergeCell ref="AC304:AE304"/>
    <mergeCell ref="AF304:AH304"/>
    <mergeCell ref="AZ302:BD302"/>
    <mergeCell ref="BE302:BF302"/>
    <mergeCell ref="C303:U303"/>
    <mergeCell ref="V303:X303"/>
    <mergeCell ref="Y303:AB303"/>
    <mergeCell ref="AC303:AE303"/>
    <mergeCell ref="AF303:AH303"/>
    <mergeCell ref="AI303:AJ303"/>
    <mergeCell ref="AK303:AN303"/>
    <mergeCell ref="AO303:AQ303"/>
    <mergeCell ref="AI302:AJ302"/>
    <mergeCell ref="AK302:AN302"/>
    <mergeCell ref="AO302:AQ302"/>
    <mergeCell ref="AR302:AT302"/>
    <mergeCell ref="AU302:AW302"/>
    <mergeCell ref="AX302:AY302"/>
    <mergeCell ref="AR301:AT301"/>
    <mergeCell ref="AU301:AW301"/>
    <mergeCell ref="AX301:AY301"/>
    <mergeCell ref="AZ301:BD301"/>
    <mergeCell ref="BE301:BF301"/>
    <mergeCell ref="C302:U302"/>
    <mergeCell ref="V302:X302"/>
    <mergeCell ref="Y302:AB302"/>
    <mergeCell ref="AC302:AE302"/>
    <mergeCell ref="AF302:AH302"/>
    <mergeCell ref="AZ300:BD300"/>
    <mergeCell ref="BE300:BF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I300:AJ300"/>
    <mergeCell ref="AK300:AN300"/>
    <mergeCell ref="AO300:AQ300"/>
    <mergeCell ref="AR300:AT300"/>
    <mergeCell ref="AU300:AW300"/>
    <mergeCell ref="AX300:AY300"/>
    <mergeCell ref="AR299:AT299"/>
    <mergeCell ref="AU299:AW299"/>
    <mergeCell ref="AX299:AY299"/>
    <mergeCell ref="AZ299:BD299"/>
    <mergeCell ref="BE299:BF299"/>
    <mergeCell ref="C300:U300"/>
    <mergeCell ref="V300:X300"/>
    <mergeCell ref="Y300:AB300"/>
    <mergeCell ref="AC300:AE300"/>
    <mergeCell ref="AF300:AH300"/>
    <mergeCell ref="AZ298:BD298"/>
    <mergeCell ref="BE298:BF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I298:AJ298"/>
    <mergeCell ref="AK298:AN298"/>
    <mergeCell ref="AO298:AQ298"/>
    <mergeCell ref="AR298:AT298"/>
    <mergeCell ref="AU298:AW298"/>
    <mergeCell ref="AX298:AY298"/>
    <mergeCell ref="AR297:AT297"/>
    <mergeCell ref="AU297:AW297"/>
    <mergeCell ref="AX297:AY297"/>
    <mergeCell ref="AZ297:BD297"/>
    <mergeCell ref="BE297:BF297"/>
    <mergeCell ref="B298:U298"/>
    <mergeCell ref="V298:X298"/>
    <mergeCell ref="Y298:AB298"/>
    <mergeCell ref="AC298:AE298"/>
    <mergeCell ref="AF298:AH298"/>
    <mergeCell ref="AZ296:BD296"/>
    <mergeCell ref="BE296:BF296"/>
    <mergeCell ref="B297:U297"/>
    <mergeCell ref="V297:X297"/>
    <mergeCell ref="Y297:AB297"/>
    <mergeCell ref="AC297:AE297"/>
    <mergeCell ref="AF297:AH297"/>
    <mergeCell ref="AI297:AJ297"/>
    <mergeCell ref="AK297:AN297"/>
    <mergeCell ref="AO297:AQ297"/>
    <mergeCell ref="AI296:AJ296"/>
    <mergeCell ref="AK296:AN296"/>
    <mergeCell ref="AO296:AQ296"/>
    <mergeCell ref="AR296:AT296"/>
    <mergeCell ref="AU296:AW296"/>
    <mergeCell ref="AX296:AY296"/>
    <mergeCell ref="AR295:AT295"/>
    <mergeCell ref="AU295:AW295"/>
    <mergeCell ref="AX295:AY295"/>
    <mergeCell ref="AZ295:BD295"/>
    <mergeCell ref="BE295:BF295"/>
    <mergeCell ref="C296:U296"/>
    <mergeCell ref="V296:X296"/>
    <mergeCell ref="Y296:AB296"/>
    <mergeCell ref="AC296:AE296"/>
    <mergeCell ref="AF296:AH296"/>
    <mergeCell ref="AZ294:BD294"/>
    <mergeCell ref="BE294:BF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I294:AJ294"/>
    <mergeCell ref="AK294:AN294"/>
    <mergeCell ref="AO294:AQ294"/>
    <mergeCell ref="AR294:AT294"/>
    <mergeCell ref="AU294:AW294"/>
    <mergeCell ref="AX294:AY294"/>
    <mergeCell ref="AR293:AT293"/>
    <mergeCell ref="AU293:AW293"/>
    <mergeCell ref="AX293:AY293"/>
    <mergeCell ref="AZ293:BD293"/>
    <mergeCell ref="BE293:BF293"/>
    <mergeCell ref="C294:U294"/>
    <mergeCell ref="V294:X294"/>
    <mergeCell ref="Y294:AB294"/>
    <mergeCell ref="AC294:AE294"/>
    <mergeCell ref="AF294:AH294"/>
    <mergeCell ref="AZ292:BD292"/>
    <mergeCell ref="BE292:BF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I292:AJ292"/>
    <mergeCell ref="AK292:AN292"/>
    <mergeCell ref="AO292:AQ292"/>
    <mergeCell ref="AR292:AT292"/>
    <mergeCell ref="AU292:AW292"/>
    <mergeCell ref="AX292:AY292"/>
    <mergeCell ref="AR291:AT291"/>
    <mergeCell ref="AU291:AW291"/>
    <mergeCell ref="AX291:AY291"/>
    <mergeCell ref="AZ291:BD291"/>
    <mergeCell ref="BE291:BF291"/>
    <mergeCell ref="C292:U292"/>
    <mergeCell ref="V292:X292"/>
    <mergeCell ref="Y292:AB292"/>
    <mergeCell ref="AC292:AE292"/>
    <mergeCell ref="AF292:AH292"/>
    <mergeCell ref="AZ290:BD290"/>
    <mergeCell ref="BE290:BF290"/>
    <mergeCell ref="C291:U291"/>
    <mergeCell ref="V291:X291"/>
    <mergeCell ref="Y291:AB291"/>
    <mergeCell ref="AC291:AE291"/>
    <mergeCell ref="AF291:AH291"/>
    <mergeCell ref="AI291:AJ291"/>
    <mergeCell ref="AK291:AN291"/>
    <mergeCell ref="AO291:AQ291"/>
    <mergeCell ref="AI290:AJ290"/>
    <mergeCell ref="AK290:AN290"/>
    <mergeCell ref="AO290:AQ290"/>
    <mergeCell ref="AR290:AT290"/>
    <mergeCell ref="AU290:AW290"/>
    <mergeCell ref="AX290:AY290"/>
    <mergeCell ref="AR289:AT289"/>
    <mergeCell ref="AU289:AW289"/>
    <mergeCell ref="AX289:AY289"/>
    <mergeCell ref="AZ289:BD289"/>
    <mergeCell ref="BE289:BF289"/>
    <mergeCell ref="C290:U290"/>
    <mergeCell ref="V290:X290"/>
    <mergeCell ref="Y290:AB290"/>
    <mergeCell ref="AC290:AE290"/>
    <mergeCell ref="AF290:AH290"/>
    <mergeCell ref="AZ288:BD288"/>
    <mergeCell ref="BE288:BF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I288:AJ288"/>
    <mergeCell ref="AK288:AN288"/>
    <mergeCell ref="AO288:AQ288"/>
    <mergeCell ref="AR288:AT288"/>
    <mergeCell ref="AU288:AW288"/>
    <mergeCell ref="AX288:AY288"/>
    <mergeCell ref="AR287:AT287"/>
    <mergeCell ref="AU287:AW287"/>
    <mergeCell ref="AX287:AY287"/>
    <mergeCell ref="AZ287:BD287"/>
    <mergeCell ref="BE287:BF287"/>
    <mergeCell ref="C288:U288"/>
    <mergeCell ref="V288:X288"/>
    <mergeCell ref="Y288:AB288"/>
    <mergeCell ref="AC288:AE288"/>
    <mergeCell ref="AF288:AH288"/>
    <mergeCell ref="AZ286:BD286"/>
    <mergeCell ref="BE286:BF286"/>
    <mergeCell ref="B287:U287"/>
    <mergeCell ref="V287:X287"/>
    <mergeCell ref="Y287:AB287"/>
    <mergeCell ref="AC287:AE287"/>
    <mergeCell ref="AF287:AH287"/>
    <mergeCell ref="AI287:AJ287"/>
    <mergeCell ref="AK287:AN287"/>
    <mergeCell ref="AO287:AQ287"/>
    <mergeCell ref="AI286:AJ286"/>
    <mergeCell ref="AK286:AN286"/>
    <mergeCell ref="AO286:AQ286"/>
    <mergeCell ref="AR286:AT286"/>
    <mergeCell ref="AU286:AW286"/>
    <mergeCell ref="AX286:AY286"/>
    <mergeCell ref="AR285:AT285"/>
    <mergeCell ref="AU285:AW285"/>
    <mergeCell ref="AX285:AY285"/>
    <mergeCell ref="AZ285:BD285"/>
    <mergeCell ref="BE285:BF285"/>
    <mergeCell ref="B286:U286"/>
    <mergeCell ref="V286:X286"/>
    <mergeCell ref="Y286:AB286"/>
    <mergeCell ref="AC286:AE286"/>
    <mergeCell ref="AF286:AH286"/>
    <mergeCell ref="AZ284:BD284"/>
    <mergeCell ref="BE284:BF284"/>
    <mergeCell ref="C285:U285"/>
    <mergeCell ref="V285:X285"/>
    <mergeCell ref="Y285:AB285"/>
    <mergeCell ref="AC285:AE285"/>
    <mergeCell ref="AF285:AH285"/>
    <mergeCell ref="AI285:AJ285"/>
    <mergeCell ref="AK285:AN285"/>
    <mergeCell ref="AO285:AQ285"/>
    <mergeCell ref="AI284:AJ284"/>
    <mergeCell ref="AK284:AN284"/>
    <mergeCell ref="AO284:AQ284"/>
    <mergeCell ref="AR284:AT284"/>
    <mergeCell ref="AU284:AW284"/>
    <mergeCell ref="AX284:AY284"/>
    <mergeCell ref="AR283:AT283"/>
    <mergeCell ref="AU283:AW283"/>
    <mergeCell ref="AX283:AY283"/>
    <mergeCell ref="AZ283:BD283"/>
    <mergeCell ref="BE283:BF283"/>
    <mergeCell ref="C284:U284"/>
    <mergeCell ref="V284:X284"/>
    <mergeCell ref="Y284:AB284"/>
    <mergeCell ref="AC284:AE284"/>
    <mergeCell ref="AF284:AH284"/>
    <mergeCell ref="AZ282:BD282"/>
    <mergeCell ref="BE282:BF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I282:AJ282"/>
    <mergeCell ref="AK282:AN282"/>
    <mergeCell ref="AO282:AQ282"/>
    <mergeCell ref="AR282:AT282"/>
    <mergeCell ref="AU282:AW282"/>
    <mergeCell ref="AX282:AY282"/>
    <mergeCell ref="AR281:AT281"/>
    <mergeCell ref="AU281:AW281"/>
    <mergeCell ref="AX281:AY281"/>
    <mergeCell ref="AZ281:BD281"/>
    <mergeCell ref="BE281:BF281"/>
    <mergeCell ref="C282:U282"/>
    <mergeCell ref="V282:X282"/>
    <mergeCell ref="Y282:AB282"/>
    <mergeCell ref="AC282:AE282"/>
    <mergeCell ref="AF282:AH282"/>
    <mergeCell ref="AZ280:BD280"/>
    <mergeCell ref="BE280:BF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I280:AJ280"/>
    <mergeCell ref="AK280:AN280"/>
    <mergeCell ref="AO280:AQ280"/>
    <mergeCell ref="AR280:AT280"/>
    <mergeCell ref="AU280:AW280"/>
    <mergeCell ref="AX280:AY280"/>
    <mergeCell ref="AR279:AT279"/>
    <mergeCell ref="AU279:AW279"/>
    <mergeCell ref="AX279:AY279"/>
    <mergeCell ref="AZ279:BD279"/>
    <mergeCell ref="BE279:BF279"/>
    <mergeCell ref="C280:U280"/>
    <mergeCell ref="V280:X280"/>
    <mergeCell ref="Y280:AB280"/>
    <mergeCell ref="AC280:AE280"/>
    <mergeCell ref="AF280:AH280"/>
    <mergeCell ref="AZ278:BD278"/>
    <mergeCell ref="BE278:BF278"/>
    <mergeCell ref="C279:U279"/>
    <mergeCell ref="V279:X279"/>
    <mergeCell ref="Y279:AB279"/>
    <mergeCell ref="AC279:AE279"/>
    <mergeCell ref="AF279:AH279"/>
    <mergeCell ref="AI279:AJ279"/>
    <mergeCell ref="AK279:AN279"/>
    <mergeCell ref="AO279:AQ279"/>
    <mergeCell ref="AI278:AJ278"/>
    <mergeCell ref="AK278:AN278"/>
    <mergeCell ref="AO278:AQ278"/>
    <mergeCell ref="AR278:AT278"/>
    <mergeCell ref="AU278:AW278"/>
    <mergeCell ref="AX278:AY278"/>
    <mergeCell ref="AR277:AT277"/>
    <mergeCell ref="AU277:AW277"/>
    <mergeCell ref="AX277:AY277"/>
    <mergeCell ref="AZ277:BD277"/>
    <mergeCell ref="BE277:BF277"/>
    <mergeCell ref="C278:U278"/>
    <mergeCell ref="V278:X278"/>
    <mergeCell ref="Y278:AB278"/>
    <mergeCell ref="AC278:AE278"/>
    <mergeCell ref="AF278:AH278"/>
    <mergeCell ref="AZ276:BD276"/>
    <mergeCell ref="BE276:BF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I276:AJ276"/>
    <mergeCell ref="AK276:AN276"/>
    <mergeCell ref="AO276:AQ276"/>
    <mergeCell ref="AR276:AT276"/>
    <mergeCell ref="AU276:AW276"/>
    <mergeCell ref="AX276:AY276"/>
    <mergeCell ref="AR275:AT275"/>
    <mergeCell ref="AU275:AW275"/>
    <mergeCell ref="AX275:AY275"/>
    <mergeCell ref="AZ275:BD275"/>
    <mergeCell ref="BE275:BF275"/>
    <mergeCell ref="B276:U276"/>
    <mergeCell ref="V276:X276"/>
    <mergeCell ref="Y276:AB276"/>
    <mergeCell ref="AC276:AE276"/>
    <mergeCell ref="AF276:AH276"/>
    <mergeCell ref="AZ274:BD274"/>
    <mergeCell ref="BE274:BF274"/>
    <mergeCell ref="B275:U275"/>
    <mergeCell ref="V275:X275"/>
    <mergeCell ref="Y275:AB275"/>
    <mergeCell ref="AC275:AE275"/>
    <mergeCell ref="AF275:AH275"/>
    <mergeCell ref="AI275:AJ275"/>
    <mergeCell ref="AK275:AN275"/>
    <mergeCell ref="AO275:AQ275"/>
    <mergeCell ref="AI274:AJ274"/>
    <mergeCell ref="AK274:AN274"/>
    <mergeCell ref="AO274:AQ274"/>
    <mergeCell ref="AR274:AT274"/>
    <mergeCell ref="AU274:AW274"/>
    <mergeCell ref="AX274:AY274"/>
    <mergeCell ref="AR273:AT273"/>
    <mergeCell ref="AU273:AW273"/>
    <mergeCell ref="AX273:AY273"/>
    <mergeCell ref="AZ273:BD273"/>
    <mergeCell ref="BE273:BF273"/>
    <mergeCell ref="C274:U274"/>
    <mergeCell ref="V274:X274"/>
    <mergeCell ref="Y274:AB274"/>
    <mergeCell ref="AC274:AE274"/>
    <mergeCell ref="AF274:AH274"/>
    <mergeCell ref="AZ272:BD272"/>
    <mergeCell ref="BE272:BF272"/>
    <mergeCell ref="C273:U273"/>
    <mergeCell ref="V273:X273"/>
    <mergeCell ref="Y273:AB273"/>
    <mergeCell ref="AC273:AE273"/>
    <mergeCell ref="AF273:AH273"/>
    <mergeCell ref="AI273:AJ273"/>
    <mergeCell ref="AK273:AN273"/>
    <mergeCell ref="AO273:AQ273"/>
    <mergeCell ref="AI272:AJ272"/>
    <mergeCell ref="AK272:AN272"/>
    <mergeCell ref="AO272:AQ272"/>
    <mergeCell ref="AR272:AT272"/>
    <mergeCell ref="AU272:AW272"/>
    <mergeCell ref="AX272:AY272"/>
    <mergeCell ref="AR271:AT271"/>
    <mergeCell ref="AU271:AW271"/>
    <mergeCell ref="AX271:AY271"/>
    <mergeCell ref="AZ271:BD271"/>
    <mergeCell ref="BE271:BF271"/>
    <mergeCell ref="C272:U272"/>
    <mergeCell ref="V272:X272"/>
    <mergeCell ref="Y272:AB272"/>
    <mergeCell ref="AC272:AE272"/>
    <mergeCell ref="AF272:AH272"/>
    <mergeCell ref="AZ270:BD270"/>
    <mergeCell ref="BE270:BF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I270:AJ270"/>
    <mergeCell ref="AK270:AN270"/>
    <mergeCell ref="AO270:AQ270"/>
    <mergeCell ref="AR270:AT270"/>
    <mergeCell ref="AU270:AW270"/>
    <mergeCell ref="AX270:AY270"/>
    <mergeCell ref="AR269:AT269"/>
    <mergeCell ref="AU269:AW269"/>
    <mergeCell ref="AX269:AY269"/>
    <mergeCell ref="AZ269:BD269"/>
    <mergeCell ref="BE269:BF269"/>
    <mergeCell ref="C270:U270"/>
    <mergeCell ref="V270:X270"/>
    <mergeCell ref="Y270:AB270"/>
    <mergeCell ref="AC270:AE270"/>
    <mergeCell ref="AF270:AH270"/>
    <mergeCell ref="AZ268:BD268"/>
    <mergeCell ref="BE268:BF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I268:AJ268"/>
    <mergeCell ref="AK268:AN268"/>
    <mergeCell ref="AO268:AQ268"/>
    <mergeCell ref="AR268:AT268"/>
    <mergeCell ref="AU268:AW268"/>
    <mergeCell ref="AX268:AY268"/>
    <mergeCell ref="AR267:AT267"/>
    <mergeCell ref="AU267:AW267"/>
    <mergeCell ref="AX267:AY267"/>
    <mergeCell ref="AZ267:BD267"/>
    <mergeCell ref="BE267:BF267"/>
    <mergeCell ref="C268:U268"/>
    <mergeCell ref="V268:X268"/>
    <mergeCell ref="Y268:AB268"/>
    <mergeCell ref="AC268:AE268"/>
    <mergeCell ref="AF268:AH268"/>
    <mergeCell ref="AZ266:BD266"/>
    <mergeCell ref="BE266:BF266"/>
    <mergeCell ref="C267:U267"/>
    <mergeCell ref="V267:X267"/>
    <mergeCell ref="Y267:AB267"/>
    <mergeCell ref="AC267:AE267"/>
    <mergeCell ref="AF267:AH267"/>
    <mergeCell ref="AI267:AJ267"/>
    <mergeCell ref="AK267:AN267"/>
    <mergeCell ref="AO267:AQ267"/>
    <mergeCell ref="AI266:AJ266"/>
    <mergeCell ref="AK266:AN266"/>
    <mergeCell ref="AO266:AQ266"/>
    <mergeCell ref="AR266:AT266"/>
    <mergeCell ref="AU266:AW266"/>
    <mergeCell ref="AX266:AY266"/>
    <mergeCell ref="AR265:AT265"/>
    <mergeCell ref="AU265:AW265"/>
    <mergeCell ref="AX265:AY265"/>
    <mergeCell ref="AZ265:BD265"/>
    <mergeCell ref="BE265:BF265"/>
    <mergeCell ref="C266:U266"/>
    <mergeCell ref="V266:X266"/>
    <mergeCell ref="Y266:AB266"/>
    <mergeCell ref="AC266:AE266"/>
    <mergeCell ref="AF266:AH266"/>
    <mergeCell ref="AZ264:BD264"/>
    <mergeCell ref="BE264:BF264"/>
    <mergeCell ref="B265:U265"/>
    <mergeCell ref="V265:X265"/>
    <mergeCell ref="Y265:AB265"/>
    <mergeCell ref="AC265:AE265"/>
    <mergeCell ref="AF265:AH265"/>
    <mergeCell ref="AI265:AJ265"/>
    <mergeCell ref="AK265:AN265"/>
    <mergeCell ref="AO265:AQ265"/>
    <mergeCell ref="AI264:AJ264"/>
    <mergeCell ref="AK264:AN264"/>
    <mergeCell ref="AO264:AQ264"/>
    <mergeCell ref="AR264:AT264"/>
    <mergeCell ref="AU264:AW264"/>
    <mergeCell ref="AX264:AY264"/>
    <mergeCell ref="AR263:AT263"/>
    <mergeCell ref="AU263:AW263"/>
    <mergeCell ref="AX263:AY263"/>
    <mergeCell ref="AZ263:BD263"/>
    <mergeCell ref="BE263:BF263"/>
    <mergeCell ref="B264:U264"/>
    <mergeCell ref="V264:X264"/>
    <mergeCell ref="Y264:AB264"/>
    <mergeCell ref="AC264:AE264"/>
    <mergeCell ref="AF264:AH264"/>
    <mergeCell ref="AZ262:BD262"/>
    <mergeCell ref="BE262:BF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I262:AJ262"/>
    <mergeCell ref="AK262:AN262"/>
    <mergeCell ref="AO262:AQ262"/>
    <mergeCell ref="AR262:AT262"/>
    <mergeCell ref="AU262:AW262"/>
    <mergeCell ref="AX262:AY262"/>
    <mergeCell ref="AR261:AT261"/>
    <mergeCell ref="AU261:AW261"/>
    <mergeCell ref="AX261:AY261"/>
    <mergeCell ref="AZ261:BD261"/>
    <mergeCell ref="BE261:BF261"/>
    <mergeCell ref="C262:U262"/>
    <mergeCell ref="V262:X262"/>
    <mergeCell ref="Y262:AB262"/>
    <mergeCell ref="AC262:AE262"/>
    <mergeCell ref="AF262:AH262"/>
    <mergeCell ref="AZ260:BD260"/>
    <mergeCell ref="BE260:BF260"/>
    <mergeCell ref="C261:U261"/>
    <mergeCell ref="V261:X261"/>
    <mergeCell ref="Y261:AB261"/>
    <mergeCell ref="AC261:AE261"/>
    <mergeCell ref="AF261:AH261"/>
    <mergeCell ref="AI261:AJ261"/>
    <mergeCell ref="AK261:AN261"/>
    <mergeCell ref="AO261:AQ261"/>
    <mergeCell ref="AI260:AJ260"/>
    <mergeCell ref="AK260:AN260"/>
    <mergeCell ref="AO260:AQ260"/>
    <mergeCell ref="AR260:AT260"/>
    <mergeCell ref="AU260:AW260"/>
    <mergeCell ref="AX260:AY260"/>
    <mergeCell ref="AR259:AT259"/>
    <mergeCell ref="AU259:AW259"/>
    <mergeCell ref="AX259:AY259"/>
    <mergeCell ref="AZ259:BD259"/>
    <mergeCell ref="BE259:BF259"/>
    <mergeCell ref="C260:U260"/>
    <mergeCell ref="V260:X260"/>
    <mergeCell ref="Y260:AB260"/>
    <mergeCell ref="AC260:AE260"/>
    <mergeCell ref="AF260:AH260"/>
    <mergeCell ref="AZ258:BD258"/>
    <mergeCell ref="BE258:BF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I258:AJ258"/>
    <mergeCell ref="AK258:AN258"/>
    <mergeCell ref="AO258:AQ258"/>
    <mergeCell ref="AR258:AT258"/>
    <mergeCell ref="AU258:AW258"/>
    <mergeCell ref="AX258:AY258"/>
    <mergeCell ref="AR257:AT257"/>
    <mergeCell ref="AU257:AW257"/>
    <mergeCell ref="AX257:AY257"/>
    <mergeCell ref="AZ257:BD257"/>
    <mergeCell ref="BE257:BF257"/>
    <mergeCell ref="C258:U258"/>
    <mergeCell ref="V258:X258"/>
    <mergeCell ref="Y258:AB258"/>
    <mergeCell ref="AC258:AE258"/>
    <mergeCell ref="AF258:AH258"/>
    <mergeCell ref="AZ256:BD256"/>
    <mergeCell ref="BE256:BF256"/>
    <mergeCell ref="C257:U257"/>
    <mergeCell ref="V257:X257"/>
    <mergeCell ref="Y257:AB257"/>
    <mergeCell ref="AC257:AE257"/>
    <mergeCell ref="AF257:AH257"/>
    <mergeCell ref="AI257:AJ257"/>
    <mergeCell ref="AK257:AN257"/>
    <mergeCell ref="AO257:AQ257"/>
    <mergeCell ref="AI256:AJ256"/>
    <mergeCell ref="AK256:AN256"/>
    <mergeCell ref="AO256:AQ256"/>
    <mergeCell ref="AR256:AT256"/>
    <mergeCell ref="AU256:AW256"/>
    <mergeCell ref="AX256:AY256"/>
    <mergeCell ref="AR255:AT255"/>
    <mergeCell ref="AU255:AW255"/>
    <mergeCell ref="AX255:AY255"/>
    <mergeCell ref="AZ255:BD255"/>
    <mergeCell ref="BE255:BF255"/>
    <mergeCell ref="C256:U256"/>
    <mergeCell ref="V256:X256"/>
    <mergeCell ref="Y256:AB256"/>
    <mergeCell ref="AC256:AE256"/>
    <mergeCell ref="AF256:AH256"/>
    <mergeCell ref="AZ254:BD254"/>
    <mergeCell ref="BE254:BF254"/>
    <mergeCell ref="C255:U255"/>
    <mergeCell ref="V255:X255"/>
    <mergeCell ref="Y255:AB255"/>
    <mergeCell ref="AC255:AE255"/>
    <mergeCell ref="AF255:AH255"/>
    <mergeCell ref="AI255:AJ255"/>
    <mergeCell ref="AK255:AN255"/>
    <mergeCell ref="AO255:AQ255"/>
    <mergeCell ref="AI254:AJ254"/>
    <mergeCell ref="AK254:AN254"/>
    <mergeCell ref="AO254:AQ254"/>
    <mergeCell ref="AR254:AT254"/>
    <mergeCell ref="AU254:AW254"/>
    <mergeCell ref="AX254:AY254"/>
    <mergeCell ref="AR253:AT253"/>
    <mergeCell ref="AU253:AW253"/>
    <mergeCell ref="AX253:AY253"/>
    <mergeCell ref="AZ253:BD253"/>
    <mergeCell ref="BE253:BF253"/>
    <mergeCell ref="B254:U254"/>
    <mergeCell ref="V254:X254"/>
    <mergeCell ref="Y254:AB254"/>
    <mergeCell ref="AC254:AE254"/>
    <mergeCell ref="AF254:AH254"/>
    <mergeCell ref="AZ252:BD252"/>
    <mergeCell ref="BE252:BF252"/>
    <mergeCell ref="B253:U253"/>
    <mergeCell ref="V253:X253"/>
    <mergeCell ref="Y253:AB253"/>
    <mergeCell ref="AC253:AE253"/>
    <mergeCell ref="AF253:AH253"/>
    <mergeCell ref="AI253:AJ253"/>
    <mergeCell ref="AK253:AN253"/>
    <mergeCell ref="AO253:AQ253"/>
    <mergeCell ref="AI252:AJ252"/>
    <mergeCell ref="AK252:AN252"/>
    <mergeCell ref="AO252:AQ252"/>
    <mergeCell ref="AR252:AT252"/>
    <mergeCell ref="AU252:AW252"/>
    <mergeCell ref="AX252:AY252"/>
    <mergeCell ref="AR251:AT251"/>
    <mergeCell ref="AU251:AW251"/>
    <mergeCell ref="AX251:AY251"/>
    <mergeCell ref="AZ251:BD251"/>
    <mergeCell ref="BE251:BF251"/>
    <mergeCell ref="C252:U252"/>
    <mergeCell ref="V252:X252"/>
    <mergeCell ref="Y252:AB252"/>
    <mergeCell ref="AC252:AE252"/>
    <mergeCell ref="AF252:AH252"/>
    <mergeCell ref="AZ250:BD250"/>
    <mergeCell ref="BE250:BF250"/>
    <mergeCell ref="C251:U251"/>
    <mergeCell ref="V251:X251"/>
    <mergeCell ref="Y251:AB251"/>
    <mergeCell ref="AC251:AE251"/>
    <mergeCell ref="AF251:AH251"/>
    <mergeCell ref="AI251:AJ251"/>
    <mergeCell ref="AK251:AN251"/>
    <mergeCell ref="AO251:AQ251"/>
    <mergeCell ref="AI250:AJ250"/>
    <mergeCell ref="AK250:AN250"/>
    <mergeCell ref="AO250:AQ250"/>
    <mergeCell ref="AR250:AT250"/>
    <mergeCell ref="AU250:AW250"/>
    <mergeCell ref="AX250:AY250"/>
    <mergeCell ref="AR249:AT249"/>
    <mergeCell ref="AU249:AW249"/>
    <mergeCell ref="AX249:AY249"/>
    <mergeCell ref="AZ249:BD249"/>
    <mergeCell ref="BE249:BF249"/>
    <mergeCell ref="C250:U250"/>
    <mergeCell ref="V250:X250"/>
    <mergeCell ref="Y250:AB250"/>
    <mergeCell ref="AC250:AE250"/>
    <mergeCell ref="AF250:AH250"/>
    <mergeCell ref="AZ248:BD248"/>
    <mergeCell ref="BE248:BF248"/>
    <mergeCell ref="C249:U249"/>
    <mergeCell ref="V249:X249"/>
    <mergeCell ref="Y249:AB249"/>
    <mergeCell ref="AC249:AE249"/>
    <mergeCell ref="AF249:AH249"/>
    <mergeCell ref="AI249:AJ249"/>
    <mergeCell ref="AK249:AN249"/>
    <mergeCell ref="AO249:AQ249"/>
    <mergeCell ref="AI248:AJ248"/>
    <mergeCell ref="AK248:AN248"/>
    <mergeCell ref="AO248:AQ248"/>
    <mergeCell ref="AR248:AT248"/>
    <mergeCell ref="AU248:AW248"/>
    <mergeCell ref="AX248:AY248"/>
    <mergeCell ref="AR247:AT247"/>
    <mergeCell ref="AU247:AW247"/>
    <mergeCell ref="AX247:AY247"/>
    <mergeCell ref="AZ247:BD247"/>
    <mergeCell ref="BE247:BF247"/>
    <mergeCell ref="C248:U248"/>
    <mergeCell ref="V248:X248"/>
    <mergeCell ref="Y248:AB248"/>
    <mergeCell ref="AC248:AE248"/>
    <mergeCell ref="AF248:AH248"/>
    <mergeCell ref="AZ246:BD246"/>
    <mergeCell ref="BE246:BF246"/>
    <mergeCell ref="C247:U247"/>
    <mergeCell ref="V247:X247"/>
    <mergeCell ref="Y247:AB247"/>
    <mergeCell ref="AC247:AE247"/>
    <mergeCell ref="AF247:AH247"/>
    <mergeCell ref="AI247:AJ247"/>
    <mergeCell ref="AK247:AN247"/>
    <mergeCell ref="AO247:AQ247"/>
    <mergeCell ref="AI246:AJ246"/>
    <mergeCell ref="AK246:AN246"/>
    <mergeCell ref="AO246:AQ246"/>
    <mergeCell ref="AR246:AT246"/>
    <mergeCell ref="AU246:AW246"/>
    <mergeCell ref="AX246:AY246"/>
    <mergeCell ref="AR245:AT245"/>
    <mergeCell ref="AU245:AW245"/>
    <mergeCell ref="AX245:AY245"/>
    <mergeCell ref="AZ245:BD245"/>
    <mergeCell ref="BE245:BF245"/>
    <mergeCell ref="C246:U246"/>
    <mergeCell ref="V246:X246"/>
    <mergeCell ref="Y246:AB246"/>
    <mergeCell ref="AC246:AE246"/>
    <mergeCell ref="AF246:AH246"/>
    <mergeCell ref="AZ244:BD244"/>
    <mergeCell ref="BE244:BF244"/>
    <mergeCell ref="C245:U245"/>
    <mergeCell ref="V245:X245"/>
    <mergeCell ref="Y245:AB245"/>
    <mergeCell ref="AC245:AE245"/>
    <mergeCell ref="AF245:AH245"/>
    <mergeCell ref="AI245:AJ245"/>
    <mergeCell ref="AK245:AN245"/>
    <mergeCell ref="AO245:AQ245"/>
    <mergeCell ref="AI244:AJ244"/>
    <mergeCell ref="AK244:AN244"/>
    <mergeCell ref="AO244:AQ244"/>
    <mergeCell ref="AR244:AT244"/>
    <mergeCell ref="AU244:AW244"/>
    <mergeCell ref="AX244:AY244"/>
    <mergeCell ref="AR243:AT243"/>
    <mergeCell ref="AU243:AW243"/>
    <mergeCell ref="AX243:AY243"/>
    <mergeCell ref="AZ243:BD243"/>
    <mergeCell ref="BE243:BF243"/>
    <mergeCell ref="C244:U244"/>
    <mergeCell ref="V244:X244"/>
    <mergeCell ref="Y244:AB244"/>
    <mergeCell ref="AC244:AE244"/>
    <mergeCell ref="AF244:AH244"/>
    <mergeCell ref="AZ242:BD242"/>
    <mergeCell ref="BE242:BF242"/>
    <mergeCell ref="B243:U243"/>
    <mergeCell ref="V243:X243"/>
    <mergeCell ref="Y243:AB243"/>
    <mergeCell ref="AC243:AE243"/>
    <mergeCell ref="AF243:AH243"/>
    <mergeCell ref="AI243:AJ243"/>
    <mergeCell ref="AK243:AN243"/>
    <mergeCell ref="AO243:AQ243"/>
    <mergeCell ref="AI242:AJ242"/>
    <mergeCell ref="AK242:AN242"/>
    <mergeCell ref="AO242:AQ242"/>
    <mergeCell ref="AR242:AT242"/>
    <mergeCell ref="AU242:AW242"/>
    <mergeCell ref="AX242:AY242"/>
    <mergeCell ref="AR241:AT241"/>
    <mergeCell ref="AU241:AW241"/>
    <mergeCell ref="AX241:AY241"/>
    <mergeCell ref="AZ241:BD241"/>
    <mergeCell ref="BE241:BF241"/>
    <mergeCell ref="B242:U242"/>
    <mergeCell ref="V242:X242"/>
    <mergeCell ref="Y242:AB242"/>
    <mergeCell ref="AC242:AE242"/>
    <mergeCell ref="AF242:AH242"/>
    <mergeCell ref="AZ240:BD240"/>
    <mergeCell ref="BE240:BF240"/>
    <mergeCell ref="C241:U241"/>
    <mergeCell ref="V241:X241"/>
    <mergeCell ref="Y241:AB241"/>
    <mergeCell ref="AC241:AE241"/>
    <mergeCell ref="AF241:AH241"/>
    <mergeCell ref="AI241:AJ241"/>
    <mergeCell ref="AK241:AN241"/>
    <mergeCell ref="AO241:AQ241"/>
    <mergeCell ref="AI240:AJ240"/>
    <mergeCell ref="AK240:AN240"/>
    <mergeCell ref="AO240:AQ240"/>
    <mergeCell ref="AR240:AT240"/>
    <mergeCell ref="AU240:AW240"/>
    <mergeCell ref="AX240:AY240"/>
    <mergeCell ref="AR239:AT239"/>
    <mergeCell ref="AU239:AW239"/>
    <mergeCell ref="AX239:AY239"/>
    <mergeCell ref="AZ239:BD239"/>
    <mergeCell ref="BE239:BF239"/>
    <mergeCell ref="C240:U240"/>
    <mergeCell ref="V240:X240"/>
    <mergeCell ref="Y240:AB240"/>
    <mergeCell ref="AC240:AE240"/>
    <mergeCell ref="AF240:AH240"/>
    <mergeCell ref="AZ238:BD238"/>
    <mergeCell ref="BE238:BF238"/>
    <mergeCell ref="C239:U239"/>
    <mergeCell ref="V239:X239"/>
    <mergeCell ref="Y239:AB239"/>
    <mergeCell ref="AC239:AE239"/>
    <mergeCell ref="AF239:AH239"/>
    <mergeCell ref="AI239:AJ239"/>
    <mergeCell ref="AK239:AN239"/>
    <mergeCell ref="AO239:AQ239"/>
    <mergeCell ref="AI238:AJ238"/>
    <mergeCell ref="AK238:AN238"/>
    <mergeCell ref="AO238:AQ238"/>
    <mergeCell ref="AR238:AT238"/>
    <mergeCell ref="AU238:AW238"/>
    <mergeCell ref="AX238:AY238"/>
    <mergeCell ref="AR237:AT237"/>
    <mergeCell ref="AU237:AW237"/>
    <mergeCell ref="AX237:AY237"/>
    <mergeCell ref="AZ237:BD237"/>
    <mergeCell ref="BE237:BF237"/>
    <mergeCell ref="C238:U238"/>
    <mergeCell ref="V238:X238"/>
    <mergeCell ref="Y238:AB238"/>
    <mergeCell ref="AC238:AE238"/>
    <mergeCell ref="AF238:AH238"/>
    <mergeCell ref="AZ236:BD236"/>
    <mergeCell ref="BE236:BF236"/>
    <mergeCell ref="C237:U237"/>
    <mergeCell ref="V237:X237"/>
    <mergeCell ref="Y237:AB237"/>
    <mergeCell ref="AC237:AE237"/>
    <mergeCell ref="AF237:AH237"/>
    <mergeCell ref="AI237:AJ237"/>
    <mergeCell ref="AK237:AN237"/>
    <mergeCell ref="AO237:AQ237"/>
    <mergeCell ref="AI236:AJ236"/>
    <mergeCell ref="AK236:AN236"/>
    <mergeCell ref="AO236:AQ236"/>
    <mergeCell ref="AR236:AT236"/>
    <mergeCell ref="AU236:AW236"/>
    <mergeCell ref="AX236:AY236"/>
    <mergeCell ref="AR235:AT235"/>
    <mergeCell ref="AU235:AW235"/>
    <mergeCell ref="AX235:AY235"/>
    <mergeCell ref="AZ235:BD235"/>
    <mergeCell ref="BE235:BF235"/>
    <mergeCell ref="C236:U236"/>
    <mergeCell ref="V236:X236"/>
    <mergeCell ref="Y236:AB236"/>
    <mergeCell ref="AC236:AE236"/>
    <mergeCell ref="AF236:AH236"/>
    <mergeCell ref="AZ234:BD234"/>
    <mergeCell ref="BE234:BF234"/>
    <mergeCell ref="C235:U235"/>
    <mergeCell ref="V235:X235"/>
    <mergeCell ref="Y235:AB235"/>
    <mergeCell ref="AC235:AE235"/>
    <mergeCell ref="AF235:AH235"/>
    <mergeCell ref="AI235:AJ235"/>
    <mergeCell ref="AK235:AN235"/>
    <mergeCell ref="AO235:AQ235"/>
    <mergeCell ref="AI234:AJ234"/>
    <mergeCell ref="AK234:AN234"/>
    <mergeCell ref="AO234:AQ234"/>
    <mergeCell ref="AR234:AT234"/>
    <mergeCell ref="AU234:AW234"/>
    <mergeCell ref="AX234:AY234"/>
    <mergeCell ref="AR233:AT233"/>
    <mergeCell ref="AU233:AW233"/>
    <mergeCell ref="AX233:AY233"/>
    <mergeCell ref="AZ233:BD233"/>
    <mergeCell ref="BE233:BF233"/>
    <mergeCell ref="C234:U234"/>
    <mergeCell ref="V234:X234"/>
    <mergeCell ref="Y234:AB234"/>
    <mergeCell ref="AC234:AE234"/>
    <mergeCell ref="AF234:AH234"/>
    <mergeCell ref="AZ232:BD232"/>
    <mergeCell ref="BE232:BF232"/>
    <mergeCell ref="C233:U233"/>
    <mergeCell ref="V233:X233"/>
    <mergeCell ref="Y233:AB233"/>
    <mergeCell ref="AC233:AE233"/>
    <mergeCell ref="AF233:AH233"/>
    <mergeCell ref="AI233:AJ233"/>
    <mergeCell ref="AK233:AN233"/>
    <mergeCell ref="AO233:AQ233"/>
    <mergeCell ref="AI232:AJ232"/>
    <mergeCell ref="AK232:AN232"/>
    <mergeCell ref="AO232:AQ232"/>
    <mergeCell ref="AR232:AT232"/>
    <mergeCell ref="AU232:AW232"/>
    <mergeCell ref="AX232:AY232"/>
    <mergeCell ref="AR231:AT231"/>
    <mergeCell ref="AU231:AW231"/>
    <mergeCell ref="AX231:AY231"/>
    <mergeCell ref="AZ231:BD231"/>
    <mergeCell ref="BE231:BF231"/>
    <mergeCell ref="B232:U232"/>
    <mergeCell ref="V232:X232"/>
    <mergeCell ref="Y232:AB232"/>
    <mergeCell ref="AC232:AE232"/>
    <mergeCell ref="AF232:AH232"/>
    <mergeCell ref="AZ230:BD230"/>
    <mergeCell ref="BE230:BF230"/>
    <mergeCell ref="B231:U231"/>
    <mergeCell ref="V231:X231"/>
    <mergeCell ref="Y231:AB231"/>
    <mergeCell ref="AC231:AE231"/>
    <mergeCell ref="AF231:AH231"/>
    <mergeCell ref="AI231:AJ231"/>
    <mergeCell ref="AK231:AN231"/>
    <mergeCell ref="AO231:AQ231"/>
    <mergeCell ref="AI230:AJ230"/>
    <mergeCell ref="AK230:AN230"/>
    <mergeCell ref="AO230:AQ230"/>
    <mergeCell ref="AR230:AT230"/>
    <mergeCell ref="AU230:AW230"/>
    <mergeCell ref="AX230:AY230"/>
    <mergeCell ref="AR229:AT229"/>
    <mergeCell ref="AU229:AW229"/>
    <mergeCell ref="AX229:AY229"/>
    <mergeCell ref="AZ229:BD229"/>
    <mergeCell ref="BE229:BF229"/>
    <mergeCell ref="B230:U230"/>
    <mergeCell ref="V230:X230"/>
    <mergeCell ref="Y230:AB230"/>
    <mergeCell ref="AC230:AE230"/>
    <mergeCell ref="AF230:AH230"/>
    <mergeCell ref="AZ228:BD228"/>
    <mergeCell ref="BE227:BF228"/>
    <mergeCell ref="B229:U229"/>
    <mergeCell ref="V229:X229"/>
    <mergeCell ref="Y229:AB229"/>
    <mergeCell ref="AC229:AE229"/>
    <mergeCell ref="AF229:AH229"/>
    <mergeCell ref="AI229:AJ229"/>
    <mergeCell ref="AK229:AN229"/>
    <mergeCell ref="AO229:AQ229"/>
    <mergeCell ref="AI228:AJ228"/>
    <mergeCell ref="AK228:AN228"/>
    <mergeCell ref="AO228:AQ228"/>
    <mergeCell ref="AR228:AT228"/>
    <mergeCell ref="AU228:AW228"/>
    <mergeCell ref="AX228:AY228"/>
    <mergeCell ref="A225:L225"/>
    <mergeCell ref="M225:BT225"/>
    <mergeCell ref="A226:BT226"/>
    <mergeCell ref="A227:A340"/>
    <mergeCell ref="B227:U228"/>
    <mergeCell ref="V227:X228"/>
    <mergeCell ref="Y227:BD227"/>
    <mergeCell ref="Y228:AB228"/>
    <mergeCell ref="AC228:AE228"/>
    <mergeCell ref="AF228:AH228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W223:AX223"/>
    <mergeCell ref="AY223:AZ223"/>
    <mergeCell ref="BA223:BC223"/>
    <mergeCell ref="BD223:BE223"/>
    <mergeCell ref="BF223:BG223"/>
    <mergeCell ref="BQ223:BS223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Y209:AZ209"/>
    <mergeCell ref="BA208:BT208"/>
    <mergeCell ref="BA209:BC209"/>
    <mergeCell ref="BD209:BE209"/>
    <mergeCell ref="BF209:BG209"/>
    <mergeCell ref="BQ209:BS209"/>
    <mergeCell ref="AJ209:AK209"/>
    <mergeCell ref="AL209:AM209"/>
    <mergeCell ref="AN209:AO209"/>
    <mergeCell ref="AP209:AR209"/>
    <mergeCell ref="AT209:AV209"/>
    <mergeCell ref="AW209:AX209"/>
    <mergeCell ref="A206:BT206"/>
    <mergeCell ref="A207:BT207"/>
    <mergeCell ref="A208:L209"/>
    <mergeCell ref="M208:O209"/>
    <mergeCell ref="P208:T209"/>
    <mergeCell ref="U208:AZ208"/>
    <mergeCell ref="U209:W209"/>
    <mergeCell ref="X209:AA209"/>
    <mergeCell ref="AB209:AD209"/>
    <mergeCell ref="AG209:AI209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4:BT74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2:L72"/>
    <mergeCell ref="M72:BT72"/>
    <mergeCell ref="A73:BT73"/>
    <mergeCell ref="A74:L75"/>
    <mergeCell ref="M74:O75"/>
    <mergeCell ref="P74:T75"/>
    <mergeCell ref="U74:AZ74"/>
    <mergeCell ref="U75:W75"/>
    <mergeCell ref="X75:AA75"/>
    <mergeCell ref="AB75:AD75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06" max="255" man="1"/>
    <brk id="225" max="255" man="1"/>
    <brk id="225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2023-05-03T07:24:26Z</dcterms:created>
  <dcterms:modified xsi:type="dcterms:W3CDTF">2023-05-03T07:24:26Z</dcterms:modified>
  <cp:category/>
  <cp:version/>
  <cp:contentType/>
  <cp:contentStatus/>
</cp:coreProperties>
</file>