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<sst xmlns="http://schemas.openxmlformats.org/spreadsheetml/2006/main" count="6716" uniqueCount="567">
  <si>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</si>
  <si>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</si>
  <si>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</si>
  <si>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</si>
  <si>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января 2022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</si>
  <si>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</si>
  <si>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</si>
  <si>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</si>
  <si>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</si>
  <si>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</si>
  <si>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</si>
  <si>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</si>
  <si>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</si>
  <si>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</si>
  <si>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</si>
  <si>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</si>
  <si>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</si>
  <si>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</si>
  <si>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</si>
  <si>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</si>
  <si>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</si>
  <si>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</si>
  <si>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</si>
  <si>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</si>
  <si>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</si>
  <si>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</si>
  <si>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</si>
  <si>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</si>
  <si>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</si>
  <si>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</si>
  <si>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</si>
  <si>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</si>
  <si>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</si>
  <si>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</si>
  <si>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</si>
  <si>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</si>
  <si>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</si>
  <si>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</si>
  <si>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</si>
  <si>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</si>
  <si>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</si>
  <si>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</si>
  <si>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</si>
  <si>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</si>
  <si>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</si>
  <si>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</si>
  <si>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</si>
  <si>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</si>
  <si>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</si>
  <si>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</si>
  <si>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</si>
  <si>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</si>
  <si>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</si>
  <si>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</si>
  <si>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</si>
  <si>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</si>
  <si>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</si>
  <si>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</si>
  <si>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</si>
  <si>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</si>
  <si>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</si>
  <si>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</si>
  <si>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</si>
  <si>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</si>
  <si>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</si>
  <si>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</si>
  <si>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</si>
  <si>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</si>
  <si>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</si>
  <si>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</si>
  <si>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</si>
  <si>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</si>
  <si>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</si>
  <si>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</si>
  <si>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</si>
  <si>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</si>
  <si>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</si>
  <si>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</si>
  <si>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</si>
  <si>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</si>
  <si>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</si>
  <si>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</si>
  <si>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</si>
  <si>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</si>
  <si>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</si>
  <si>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</si>
  <si>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</si>
  <si>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</si>
  <si>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</si>
  <si>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</si>
  <si>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</si>
  <si>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</si>
  <si>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</si>
  <si>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</si>
  <si>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</si>
  <si>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</si>
  <si>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</si>
  <si>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</si>
  <si>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</si>
  <si>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</si>
  <si>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</si>
  <si>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</si>
  <si>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</si>
  <si>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</si>
  <si>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</si>
  <si>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</si>
  <si>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</si>
  <si>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</si>
  <si>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</si>
  <si>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</si>
  <si>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</si>
  <si>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</si>
  <si>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</si>
  <si>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</si>
  <si>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</si>
  <si>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</si>
  <si>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</si>
  <si>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</si>
  <si>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</si>
  <si>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</si>
  <si>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</si>
  <si>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</si>
  <si>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</si>
  <si>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</si>
  <si>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</si>
  <si>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</si>
  <si>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</si>
  <si>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</si>
  <si>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</si>
  <si>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</si>
  <si>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</si>
  <si>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</si>
  <si>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</si>
  <si>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</si>
  <si>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</si>
  <si>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</si>
  <si>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</si>
  <si>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</si>
  <si>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</si>
  <si>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</si>
  <si>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</si>
  <si>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</si>
  <si>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</si>
  <si>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</si>
  <si>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</si>
  <si>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</si>
  <si>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</si>
  <si>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</si>
  <si>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</si>
  <si>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</si>
  <si>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</si>
  <si>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</si>
  <si>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</si>
  <si>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</si>
  <si>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</si>
  <si>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</si>
  <si>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</si>
  <si>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</si>
  <si>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</si>
  <si>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</si>
  <si>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</si>
  <si>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</si>
  <si>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</si>
  <si>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</si>
  <si>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</si>
  <si>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</si>
  <si>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</si>
  <si>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</si>
  <si>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</si>
  <si>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</si>
  <si>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</si>
  <si>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</si>
  <si>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</si>
  <si>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</si>
  <si>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</si>
  <si>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</si>
  <si>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</si>
  <si>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</si>
  <si>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</si>
  <si>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</si>
  <si>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</si>
  <si>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</si>
  <si>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</si>
  <si>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</si>
  <si>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</si>
  <si>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</si>
  <si>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</si>
  <si>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</si>
  <si>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</si>
  <si>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</si>
  <si>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</si>
  <si>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</si>
  <si>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</si>
  <si>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</si>
  <si>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</si>
  <si>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</si>
  <si>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</si>
  <si>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</si>
  <si>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</si>
  <si>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</si>
  <si>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</si>
  <si>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</si>
  <si>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</si>
  <si>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Субсидии бюджетам на обеспечение комплексного развития сельских территорий</t>
  </si>
  <si>
    <t>000 20225576 00 0000 150</t>
  </si>
  <si>
    <t>Субсидии бюджетам сельских поселений на обеспечение комплексного развития сельских территорий</t>
  </si>
  <si>
    <t>000 20225576 10 0000 150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</si>
  <si>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</si>
  <si>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</si>
  <si>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</si>
  <si>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</si>
  <si>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</si>
  <si>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</si>
  <si>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</si>
  <si>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</si>
  <si>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</si>
  <si>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</si>
  <si>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</si>
  <si>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</si>
  <si>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</si>
  <si>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</si>
  <si>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</si>
  <si>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</si>
  <si>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</si>
  <si>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</si>
  <si>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</si>
  <si>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</si>
  <si>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</si>
  <si>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</si>
  <si>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</si>
  <si>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</si>
  <si>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</si>
  <si>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</si>
  <si>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</si>
  <si>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</si>
  <si>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</si>
  <si>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</si>
  <si>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</si>
  <si>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</si>
  <si>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</si>
  <si>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</si>
  <si>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</si>
  <si>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</si>
  <si>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</si>
  <si>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</si>
  <si>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</si>
  <si>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</si>
  <si>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</si>
  <si>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</si>
  <si>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</si>
  <si>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</si>
  <si>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</si>
  <si>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</si>
  <si>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</si>
  <si>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</si>
  <si>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</si>
  <si>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</si>
  <si>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</si>
  <si>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</si>
  <si>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</si>
  <si>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</si>
  <si>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</si>
  <si>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</si>
  <si>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</si>
  <si>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</si>
  <si>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</si>
  <si>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</si>
  <si>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</si>
  <si>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</si>
  <si>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</si>
  <si>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</si>
  <si>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</si>
  <si>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</si>
  <si>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</si>
  <si>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</si>
  <si>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</si>
  <si>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</si>
  <si>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</si>
  <si>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</si>
  <si>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</si>
  <si>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</si>
  <si>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</si>
  <si>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</si>
  <si>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</si>
  <si>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</si>
  <si>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</si>
  <si>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</si>
  <si>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</si>
  <si>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</si>
  <si>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</si>
  <si>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</si>
  <si>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</si>
  <si>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</si>
  <si>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</si>
  <si>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</si>
  <si>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</si>
  <si>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</si>
  <si>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</si>
  <si>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</si>
  <si>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</si>
  <si>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</si>
  <si>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</si>
  <si>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</si>
  <si>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</si>
  <si>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</si>
  <si>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</si>
  <si>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</si>
  <si>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</si>
  <si>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</si>
  <si>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</si>
  <si>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</si>
  <si>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</si>
  <si>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</si>
  <si>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</si>
  <si>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</si>
  <si>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</si>
  <si>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</si>
  <si>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</si>
  <si>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</si>
  <si>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</si>
  <si>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</si>
  <si>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</si>
  <si>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</si>
  <si>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</si>
  <si>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</si>
  <si>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</si>
  <si>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</si>
  <si>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</si>
  <si>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</si>
  <si>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</si>
  <si>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</si>
  <si>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</si>
  <si>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</si>
  <si>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</si>
  <si>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</si>
  <si>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</si>
  <si>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</si>
  <si>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</si>
  <si>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</si>
  <si>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</si>
  <si>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</si>
  <si>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</si>
  <si>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</si>
  <si>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</si>
  <si>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</si>
  <si>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</si>
  <si>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</si>
  <si>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</si>
  <si>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</si>
  <si>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</si>
  <si>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</si>
  <si>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</si>
  <si>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</si>
  <si>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</si>
  <si>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</si>
  <si>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</si>
  <si>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</si>
  <si>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</si>
  <si>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</si>
  <si>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</si>
  <si>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</si>
  <si>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</si>
  <si>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</si>
  <si>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</si>
  <si>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</si>
  <si>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</si>
  <si>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</si>
  <si>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</si>
  <si>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</si>
  <si>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</si>
  <si>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</si>
  <si>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</si>
  <si>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</si>
  <si>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</si>
  <si>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</si>
  <si>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</si>
  <si>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</si>
  <si>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</si>
  <si>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</si>
  <si>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</si>
  <si>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</si>
  <si>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</si>
  <si>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</si>
  <si>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</si>
  <si>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</si>
  <si>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</si>
  <si>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</si>
  <si>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</si>
  <si>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</si>
  <si>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</si>
  <si>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</si>
  <si>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</si>
  <si>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</si>
  <si>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</si>
  <si>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</si>
  <si>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</si>
  <si>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</si>
  <si>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</si>
  <si>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</si>
  <si>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</si>
  <si>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</si>
  <si>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</si>
  <si>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</si>
  <si>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</si>
  <si>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</si>
  <si>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</si>
  <si>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</si>
  <si>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</si>
  <si>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</si>
  <si>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</si>
  <si>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</si>
  <si>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</si>
  <si>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</si>
  <si>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</si>
  <si>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</si>
  <si>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</si>
  <si>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</si>
  <si>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</si>
  <si>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</si>
  <si>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</si>
  <si>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</si>
  <si>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</si>
  <si>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</si>
  <si>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</si>
  <si>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</si>
  <si>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</si>
  <si>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</si>
  <si>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</si>
  <si>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</si>
  <si>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</si>
  <si>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</si>
  <si>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</si>
  <si>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</si>
  <si>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</si>
  <si>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</si>
  <si>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</si>
  <si>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</si>
  <si>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</si>
  <si>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</si>
  <si>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</si>
  <si>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</si>
  <si>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</si>
  <si>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</si>
  <si>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</si>
  <si>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</si>
  <si>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</si>
  <si>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</si>
  <si>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</si>
  <si>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</si>
  <si>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</si>
  <si>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</si>
  <si>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</si>
  <si>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</si>
  <si>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</si>
  <si>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</si>
  <si>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</si>
  <si>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</si>
  <si>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</si>
  <si>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</si>
  <si>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</si>
  <si>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</si>
  <si>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</si>
  <si>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</si>
  <si>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</si>
  <si>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</si>
  <si>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</si>
  <si>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</si>
  <si>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</si>
  <si>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</si>
  <si>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</si>
  <si>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</si>
  <si>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</si>
  <si>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</si>
  <si>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</si>
  <si>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</si>
  <si>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</si>
  <si>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</si>
  <si>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</si>
  <si>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</si>
  <si>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</si>
  <si>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</si>
  <si>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</si>
  <si>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</si>
  <si>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</si>
  <si>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</si>
  <si>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</si>
  <si>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</si>
  <si>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</si>
  <si>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</si>
  <si>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</si>
  <si>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</si>
  <si>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</si>
  <si>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</si>
  <si>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</si>
  <si>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</si>
  <si>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</si>
  <si>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</si>
  <si>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</si>
  <si>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</si>
  <si>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</si>
  <si>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</si>
  <si>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</si>
  <si>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</si>
  <si>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</si>
  <si>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</si>
  <si>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</si>
  <si>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</si>
  <si>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</si>
  <si>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</si>
  <si>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</si>
  <si>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</si>
  <si>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</si>
  <si>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</si>
  <si>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</si>
  <si>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</si>
  <si>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</si>
  <si>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</si>
  <si>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</si>
  <si>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</si>
  <si>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</si>
  <si>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</si>
  <si>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</si>
  <si>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</si>
  <si>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</si>
  <si>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</si>
  <si>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</si>
  <si>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</si>
  <si>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</si>
  <si>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</si>
  <si>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</si>
  <si>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</si>
  <si>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</si>
  <si>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</si>
  <si>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</si>
  <si>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</si>
  <si>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</si>
  <si>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</si>
  <si>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</si>
  <si>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</si>
  <si>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</si>
  <si>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</si>
  <si>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</si>
  <si>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</si>
  <si>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</si>
  <si>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</si>
  <si>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</si>
  <si>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</si>
  <si>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</si>
  <si>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</si>
  <si>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</si>
  <si>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</si>
  <si>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</si>
  <si>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</si>
  <si>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</si>
  <si>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</si>
  <si>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</si>
  <si>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</si>
  <si>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</si>
  <si>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</si>
  <si>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</si>
  <si>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</si>
  <si>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</si>
  <si>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</si>
  <si>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</si>
  <si>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</si>
  <si>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24 февраля 2022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</si>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</sst>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68"/>
  <sheetViews>
    <sheetView tabSelected="1" zoomScalePageLayoutView="0" workbookViewId="0" topLeftCell="A25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44562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12710038</f>
        <v>12710038</v>
      </c>
      <c r="V13" s="18"/>
      <c r="W13" s="18"/>
      <c r="X13" s="19" t="s">
        <v>71</v>
      </c>
      <c r="Y13" s="19"/>
      <c r="Z13" s="19"/>
      <c r="AA13" s="19"/>
      <c r="AB13" s="18">
        <f>12710038</f>
        <v>12710038</v>
      </c>
      <c r="AC13" s="18"/>
      <c r="AD13" s="18"/>
      <c r="AE13" s="20">
        <f>22591419.28</f>
        <v>22591419.28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35301457.28</f>
        <v>35301457.28</v>
      </c>
      <c r="AU13" s="18"/>
      <c r="AV13" s="18"/>
      <c r="AW13" s="19" t="s">
        <v>71</v>
      </c>
      <c r="AX13" s="19"/>
      <c r="AY13" s="18">
        <f>36914561.06</f>
        <v>36914561.06</v>
      </c>
      <c r="AZ13" s="18"/>
      <c r="BA13" s="19" t="s">
        <v>71</v>
      </c>
      <c r="BB13" s="19"/>
      <c r="BC13" s="19"/>
      <c r="BD13" s="18">
        <f>36914561.06</f>
        <v>36914561.06</v>
      </c>
      <c r="BE13" s="18"/>
      <c r="BF13" s="20">
        <f>0</f>
        <v>0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36914561.06</f>
        <v>36914561.06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12655038</f>
        <v>12655038</v>
      </c>
      <c r="V14" s="24"/>
      <c r="W14" s="24"/>
      <c r="X14" s="25" t="s">
        <v>71</v>
      </c>
      <c r="Y14" s="25"/>
      <c r="Z14" s="25"/>
      <c r="AA14" s="25"/>
      <c r="AB14" s="24">
        <f>12655038</f>
        <v>12655038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12655038</f>
        <v>12655038</v>
      </c>
      <c r="AU14" s="24"/>
      <c r="AV14" s="24"/>
      <c r="AW14" s="25" t="s">
        <v>71</v>
      </c>
      <c r="AX14" s="25"/>
      <c r="AY14" s="24">
        <f>14268152.99</f>
        <v>14268152.99</v>
      </c>
      <c r="AZ14" s="24"/>
      <c r="BA14" s="25" t="s">
        <v>71</v>
      </c>
      <c r="BB14" s="25"/>
      <c r="BC14" s="25"/>
      <c r="BD14" s="24">
        <f>14268152.99</f>
        <v>14268152.99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14268152.99</f>
        <v>14268152.99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1112268.35</f>
        <v>1112268.35</v>
      </c>
      <c r="AZ15" s="24"/>
      <c r="BA15" s="25" t="s">
        <v>71</v>
      </c>
      <c r="BB15" s="25"/>
      <c r="BC15" s="25"/>
      <c r="BD15" s="24">
        <f>1112268.35</f>
        <v>1112268.35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1112268.35</f>
        <v>1112268.35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1112268.35</f>
        <v>1112268.35</v>
      </c>
      <c r="AZ16" s="24"/>
      <c r="BA16" s="25" t="s">
        <v>71</v>
      </c>
      <c r="BB16" s="25"/>
      <c r="BC16" s="25"/>
      <c r="BD16" s="24">
        <f>1112268.35</f>
        <v>1112268.35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1112268.35</f>
        <v>1112268.35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1022700</f>
        <v>1022700</v>
      </c>
      <c r="V17" s="24"/>
      <c r="W17" s="24"/>
      <c r="X17" s="25" t="s">
        <v>71</v>
      </c>
      <c r="Y17" s="25"/>
      <c r="Z17" s="25"/>
      <c r="AA17" s="25"/>
      <c r="AB17" s="24">
        <f>1022700</f>
        <v>1022700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1022700</f>
        <v>1022700</v>
      </c>
      <c r="AU17" s="24"/>
      <c r="AV17" s="24"/>
      <c r="AW17" s="25" t="s">
        <v>71</v>
      </c>
      <c r="AX17" s="25"/>
      <c r="AY17" s="24">
        <f>1065854.33</f>
        <v>1065854.33</v>
      </c>
      <c r="AZ17" s="24"/>
      <c r="BA17" s="25" t="s">
        <v>71</v>
      </c>
      <c r="BB17" s="25"/>
      <c r="BC17" s="25"/>
      <c r="BD17" s="24">
        <f>1065854.33</f>
        <v>1065854.33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1065854.33</f>
        <v>1065854.33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7500</f>
        <v>7500</v>
      </c>
      <c r="V18" s="24"/>
      <c r="W18" s="24"/>
      <c r="X18" s="25" t="s">
        <v>71</v>
      </c>
      <c r="Y18" s="25"/>
      <c r="Z18" s="25"/>
      <c r="AA18" s="25"/>
      <c r="AB18" s="24">
        <f>7500</f>
        <v>7500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7500</f>
        <v>7500</v>
      </c>
      <c r="AU18" s="24"/>
      <c r="AV18" s="24"/>
      <c r="AW18" s="25" t="s">
        <v>71</v>
      </c>
      <c r="AX18" s="25"/>
      <c r="AY18" s="24">
        <f>7667.86</f>
        <v>7667.86</v>
      </c>
      <c r="AZ18" s="24"/>
      <c r="BA18" s="25" t="s">
        <v>71</v>
      </c>
      <c r="BB18" s="25"/>
      <c r="BC18" s="25"/>
      <c r="BD18" s="24">
        <f>7667.86</f>
        <v>7667.86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7667.86</f>
        <v>7667.86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22800</f>
        <v>22800</v>
      </c>
      <c r="V19" s="24"/>
      <c r="W19" s="24"/>
      <c r="X19" s="25" t="s">
        <v>71</v>
      </c>
      <c r="Y19" s="25"/>
      <c r="Z19" s="25"/>
      <c r="AA19" s="25"/>
      <c r="AB19" s="24">
        <f>22800</f>
        <v>22800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22800</f>
        <v>22800</v>
      </c>
      <c r="AU19" s="24"/>
      <c r="AV19" s="24"/>
      <c r="AW19" s="25" t="s">
        <v>71</v>
      </c>
      <c r="AX19" s="25"/>
      <c r="AY19" s="24">
        <f>17213.04</f>
        <v>17213.04</v>
      </c>
      <c r="AZ19" s="24"/>
      <c r="BA19" s="25" t="s">
        <v>71</v>
      </c>
      <c r="BB19" s="25"/>
      <c r="BC19" s="25"/>
      <c r="BD19" s="24">
        <f>17213.04</f>
        <v>17213.04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17213.04</f>
        <v>17213.04</v>
      </c>
      <c r="BO19" s="24"/>
      <c r="BP19" s="24"/>
      <c r="BQ19" s="27" t="s">
        <v>71</v>
      </c>
    </row>
    <row r="20" spans="1:69" s="1" customFormat="1" ht="75.75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5" t="s">
        <v>71</v>
      </c>
      <c r="V20" s="25"/>
      <c r="W20" s="25"/>
      <c r="X20" s="25" t="s">
        <v>71</v>
      </c>
      <c r="Y20" s="25"/>
      <c r="Z20" s="25"/>
      <c r="AA20" s="25"/>
      <c r="AB20" s="25" t="s">
        <v>71</v>
      </c>
      <c r="AC20" s="25"/>
      <c r="AD20" s="25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5" t="s">
        <v>71</v>
      </c>
      <c r="AU20" s="25"/>
      <c r="AV20" s="25"/>
      <c r="AW20" s="25" t="s">
        <v>71</v>
      </c>
      <c r="AX20" s="25"/>
      <c r="AY20" s="24">
        <f>21533.12</f>
        <v>21533.12</v>
      </c>
      <c r="AZ20" s="24"/>
      <c r="BA20" s="25" t="s">
        <v>71</v>
      </c>
      <c r="BB20" s="25"/>
      <c r="BC20" s="25"/>
      <c r="BD20" s="24">
        <f>21533.12</f>
        <v>21533.12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21533.12</f>
        <v>21533.12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4176033.75</f>
        <v>4176033.75</v>
      </c>
      <c r="AZ21" s="24"/>
      <c r="BA21" s="25" t="s">
        <v>71</v>
      </c>
      <c r="BB21" s="25"/>
      <c r="BC21" s="25"/>
      <c r="BD21" s="24">
        <f>4176033.75</f>
        <v>4176033.75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4176033.75</f>
        <v>4176033.75</v>
      </c>
      <c r="BO21" s="24"/>
      <c r="BP21" s="24"/>
      <c r="BQ21" s="27" t="s">
        <v>71</v>
      </c>
    </row>
    <row r="22" spans="1:69" s="1" customFormat="1" ht="24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4097260</f>
        <v>4097260</v>
      </c>
      <c r="V22" s="24"/>
      <c r="W22" s="24"/>
      <c r="X22" s="25" t="s">
        <v>71</v>
      </c>
      <c r="Y22" s="25"/>
      <c r="Z22" s="25"/>
      <c r="AA22" s="25"/>
      <c r="AB22" s="24">
        <f>4097260</f>
        <v>4097260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4097260</f>
        <v>4097260</v>
      </c>
      <c r="AU22" s="24"/>
      <c r="AV22" s="24"/>
      <c r="AW22" s="25" t="s">
        <v>71</v>
      </c>
      <c r="AX22" s="25"/>
      <c r="AY22" s="24">
        <f>4176033.75</f>
        <v>4176033.75</v>
      </c>
      <c r="AZ22" s="24"/>
      <c r="BA22" s="25" t="s">
        <v>71</v>
      </c>
      <c r="BB22" s="25"/>
      <c r="BC22" s="25"/>
      <c r="BD22" s="24">
        <f>4176033.75</f>
        <v>4176033.75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4176033.75</f>
        <v>4176033.75</v>
      </c>
      <c r="BO22" s="24"/>
      <c r="BP22" s="24"/>
      <c r="BQ22" s="27" t="s">
        <v>71</v>
      </c>
    </row>
    <row r="23" spans="1:69" s="1" customFormat="1" ht="66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1927906.02</f>
        <v>1927906.02</v>
      </c>
      <c r="AZ23" s="24"/>
      <c r="BA23" s="25" t="s">
        <v>71</v>
      </c>
      <c r="BB23" s="25"/>
      <c r="BC23" s="25"/>
      <c r="BD23" s="24">
        <f>1927906.02</f>
        <v>1927906.02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1927906.02</f>
        <v>1927906.02</v>
      </c>
      <c r="BO23" s="24"/>
      <c r="BP23" s="24"/>
      <c r="BQ23" s="27" t="s">
        <v>71</v>
      </c>
    </row>
    <row r="24" spans="1:69" s="1" customFormat="1" ht="85.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71</v>
      </c>
      <c r="Y24" s="25"/>
      <c r="Z24" s="25"/>
      <c r="AA24" s="25"/>
      <c r="AB24" s="24">
        <f>1881320</f>
        <v>1881320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1881320</f>
        <v>1881320</v>
      </c>
      <c r="AU24" s="24"/>
      <c r="AV24" s="24"/>
      <c r="AW24" s="25" t="s">
        <v>71</v>
      </c>
      <c r="AX24" s="25"/>
      <c r="AY24" s="24">
        <f>1927906.02</f>
        <v>1927906.02</v>
      </c>
      <c r="AZ24" s="24"/>
      <c r="BA24" s="25" t="s">
        <v>71</v>
      </c>
      <c r="BB24" s="25"/>
      <c r="BC24" s="25"/>
      <c r="BD24" s="24">
        <f>1927906.02</f>
        <v>1927906.02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1927906.02</f>
        <v>1927906.02</v>
      </c>
      <c r="BO24" s="24"/>
      <c r="BP24" s="24"/>
      <c r="BQ24" s="27" t="s">
        <v>71</v>
      </c>
    </row>
    <row r="25" spans="1:69" s="1" customFormat="1" ht="75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13558.43</f>
        <v>13558.43</v>
      </c>
      <c r="AZ25" s="24"/>
      <c r="BA25" s="25" t="s">
        <v>71</v>
      </c>
      <c r="BB25" s="25"/>
      <c r="BC25" s="25"/>
      <c r="BD25" s="24">
        <f>13558.43</f>
        <v>13558.43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13558.43</f>
        <v>13558.43</v>
      </c>
      <c r="BO25" s="24"/>
      <c r="BP25" s="24"/>
      <c r="BQ25" s="27" t="s">
        <v>71</v>
      </c>
    </row>
    <row r="26" spans="1:69" s="1" customFormat="1" ht="96.75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10720</f>
        <v>10720</v>
      </c>
      <c r="V26" s="24"/>
      <c r="W26" s="24"/>
      <c r="X26" s="25" t="s">
        <v>71</v>
      </c>
      <c r="Y26" s="25"/>
      <c r="Z26" s="25"/>
      <c r="AA26" s="25"/>
      <c r="AB26" s="24">
        <f>10720</f>
        <v>10720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10720</f>
        <v>10720</v>
      </c>
      <c r="AU26" s="24"/>
      <c r="AV26" s="24"/>
      <c r="AW26" s="25" t="s">
        <v>71</v>
      </c>
      <c r="AX26" s="25"/>
      <c r="AY26" s="24">
        <f>13558.43</f>
        <v>13558.43</v>
      </c>
      <c r="AZ26" s="24"/>
      <c r="BA26" s="25" t="s">
        <v>71</v>
      </c>
      <c r="BB26" s="25"/>
      <c r="BC26" s="25"/>
      <c r="BD26" s="24">
        <f>13558.43</f>
        <v>13558.43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13558.43</f>
        <v>13558.43</v>
      </c>
      <c r="BO26" s="24"/>
      <c r="BP26" s="24"/>
      <c r="BQ26" s="27" t="s">
        <v>71</v>
      </c>
    </row>
    <row r="27" spans="1:69" s="1" customFormat="1" ht="66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2563326.76</f>
        <v>2563326.76</v>
      </c>
      <c r="AZ27" s="24"/>
      <c r="BA27" s="25" t="s">
        <v>71</v>
      </c>
      <c r="BB27" s="25"/>
      <c r="BC27" s="25"/>
      <c r="BD27" s="24">
        <f>2563326.76</f>
        <v>2563326.76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2563326.76</f>
        <v>2563326.76</v>
      </c>
      <c r="BO27" s="24"/>
      <c r="BP27" s="24"/>
      <c r="BQ27" s="27" t="s">
        <v>71</v>
      </c>
    </row>
    <row r="28" spans="1:69" s="1" customFormat="1" ht="85.5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2474760</f>
        <v>2474760</v>
      </c>
      <c r="V28" s="24"/>
      <c r="W28" s="24"/>
      <c r="X28" s="25" t="s">
        <v>71</v>
      </c>
      <c r="Y28" s="25"/>
      <c r="Z28" s="25"/>
      <c r="AA28" s="25"/>
      <c r="AB28" s="24">
        <f>2474760</f>
        <v>2474760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2474760</f>
        <v>2474760</v>
      </c>
      <c r="AU28" s="24"/>
      <c r="AV28" s="24"/>
      <c r="AW28" s="25" t="s">
        <v>71</v>
      </c>
      <c r="AX28" s="25"/>
      <c r="AY28" s="24">
        <f>2563326.76</f>
        <v>2563326.76</v>
      </c>
      <c r="AZ28" s="24"/>
      <c r="BA28" s="25" t="s">
        <v>71</v>
      </c>
      <c r="BB28" s="25"/>
      <c r="BC28" s="25"/>
      <c r="BD28" s="24">
        <f>2563326.76</f>
        <v>2563326.76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2563326.76</f>
        <v>2563326.76</v>
      </c>
      <c r="BO28" s="24"/>
      <c r="BP28" s="24"/>
      <c r="BQ28" s="27" t="s">
        <v>71</v>
      </c>
    </row>
    <row r="29" spans="1:69" s="1" customFormat="1" ht="66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-328757.46</f>
        <v>-328757.46</v>
      </c>
      <c r="AZ29" s="24"/>
      <c r="BA29" s="25" t="s">
        <v>71</v>
      </c>
      <c r="BB29" s="25"/>
      <c r="BC29" s="25"/>
      <c r="BD29" s="24">
        <f>-328757.46</f>
        <v>-328757.46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-328757.46</f>
        <v>-328757.46</v>
      </c>
      <c r="BO29" s="24"/>
      <c r="BP29" s="24"/>
      <c r="BQ29" s="27" t="s">
        <v>71</v>
      </c>
    </row>
    <row r="30" spans="1:69" s="1" customFormat="1" ht="85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-269540</f>
        <v>-269540</v>
      </c>
      <c r="V30" s="24"/>
      <c r="W30" s="24"/>
      <c r="X30" s="25" t="s">
        <v>71</v>
      </c>
      <c r="Y30" s="25"/>
      <c r="Z30" s="25"/>
      <c r="AA30" s="25"/>
      <c r="AB30" s="24">
        <f>-269540</f>
        <v>-269540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-269540</f>
        <v>-269540</v>
      </c>
      <c r="AU30" s="24"/>
      <c r="AV30" s="24"/>
      <c r="AW30" s="25" t="s">
        <v>71</v>
      </c>
      <c r="AX30" s="25"/>
      <c r="AY30" s="24">
        <f>-328757.46</f>
        <v>-328757.46</v>
      </c>
      <c r="AZ30" s="24"/>
      <c r="BA30" s="25" t="s">
        <v>71</v>
      </c>
      <c r="BB30" s="25"/>
      <c r="BC30" s="25"/>
      <c r="BD30" s="24">
        <f>-328757.46</f>
        <v>-328757.46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-328757.46</f>
        <v>-328757.46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3100</f>
        <v>3100</v>
      </c>
      <c r="V31" s="24"/>
      <c r="W31" s="24"/>
      <c r="X31" s="25" t="s">
        <v>71</v>
      </c>
      <c r="Y31" s="25"/>
      <c r="Z31" s="25"/>
      <c r="AA31" s="25"/>
      <c r="AB31" s="24">
        <f>3100</f>
        <v>3100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3100</f>
        <v>3100</v>
      </c>
      <c r="AU31" s="24"/>
      <c r="AV31" s="24"/>
      <c r="AW31" s="25" t="s">
        <v>71</v>
      </c>
      <c r="AX31" s="25"/>
      <c r="AY31" s="24">
        <f>3197.84</f>
        <v>3197.84</v>
      </c>
      <c r="AZ31" s="24"/>
      <c r="BA31" s="25" t="s">
        <v>71</v>
      </c>
      <c r="BB31" s="25"/>
      <c r="BC31" s="25"/>
      <c r="BD31" s="24">
        <f>3197.84</f>
        <v>3197.84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3197.84</f>
        <v>3197.84</v>
      </c>
      <c r="BO31" s="24"/>
      <c r="BP31" s="24"/>
      <c r="BQ31" s="27" t="s">
        <v>71</v>
      </c>
    </row>
    <row r="32" spans="1:69" s="1" customFormat="1" ht="13.5" customHeight="1">
      <c r="A32" s="16" t="s">
        <v>108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109</v>
      </c>
      <c r="Q32" s="23"/>
      <c r="R32" s="23"/>
      <c r="S32" s="23"/>
      <c r="T32" s="23"/>
      <c r="U32" s="24">
        <f>3100</f>
        <v>3100</v>
      </c>
      <c r="V32" s="24"/>
      <c r="W32" s="24"/>
      <c r="X32" s="25" t="s">
        <v>71</v>
      </c>
      <c r="Y32" s="25"/>
      <c r="Z32" s="25"/>
      <c r="AA32" s="25"/>
      <c r="AB32" s="24">
        <f>3100</f>
        <v>3100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3100</f>
        <v>3100</v>
      </c>
      <c r="AU32" s="24"/>
      <c r="AV32" s="24"/>
      <c r="AW32" s="25" t="s">
        <v>71</v>
      </c>
      <c r="AX32" s="25"/>
      <c r="AY32" s="24">
        <f>3197.84</f>
        <v>3197.84</v>
      </c>
      <c r="AZ32" s="24"/>
      <c r="BA32" s="25" t="s">
        <v>71</v>
      </c>
      <c r="BB32" s="25"/>
      <c r="BC32" s="25"/>
      <c r="BD32" s="24">
        <f>3197.84</f>
        <v>3197.84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3197.84</f>
        <v>3197.84</v>
      </c>
      <c r="BO32" s="24"/>
      <c r="BP32" s="24"/>
      <c r="BQ32" s="27" t="s">
        <v>71</v>
      </c>
    </row>
    <row r="33" spans="1:69" s="1" customFormat="1" ht="13.5" customHeight="1">
      <c r="A33" s="16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3100</f>
        <v>3100</v>
      </c>
      <c r="V33" s="24"/>
      <c r="W33" s="24"/>
      <c r="X33" s="25" t="s">
        <v>71</v>
      </c>
      <c r="Y33" s="25"/>
      <c r="Z33" s="25"/>
      <c r="AA33" s="25"/>
      <c r="AB33" s="24">
        <f>3100</f>
        <v>3100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3100</f>
        <v>3100</v>
      </c>
      <c r="AU33" s="24"/>
      <c r="AV33" s="24"/>
      <c r="AW33" s="25" t="s">
        <v>71</v>
      </c>
      <c r="AX33" s="25"/>
      <c r="AY33" s="24">
        <f>3197.84</f>
        <v>3197.84</v>
      </c>
      <c r="AZ33" s="24"/>
      <c r="BA33" s="25" t="s">
        <v>71</v>
      </c>
      <c r="BB33" s="25"/>
      <c r="BC33" s="25"/>
      <c r="BD33" s="24">
        <f>3197.84</f>
        <v>3197.84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3197.84</f>
        <v>3197.84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6611900</f>
        <v>6611900</v>
      </c>
      <c r="V34" s="24"/>
      <c r="W34" s="24"/>
      <c r="X34" s="25" t="s">
        <v>71</v>
      </c>
      <c r="Y34" s="25"/>
      <c r="Z34" s="25"/>
      <c r="AA34" s="25"/>
      <c r="AB34" s="24">
        <f>6611900</f>
        <v>6611900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6611900</f>
        <v>6611900</v>
      </c>
      <c r="AU34" s="24"/>
      <c r="AV34" s="24"/>
      <c r="AW34" s="25" t="s">
        <v>71</v>
      </c>
      <c r="AX34" s="25"/>
      <c r="AY34" s="24">
        <f>8073809.66</f>
        <v>8073809.66</v>
      </c>
      <c r="AZ34" s="24"/>
      <c r="BA34" s="25" t="s">
        <v>71</v>
      </c>
      <c r="BB34" s="25"/>
      <c r="BC34" s="25"/>
      <c r="BD34" s="24">
        <f>8073809.66</f>
        <v>8073809.66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8073809.66</f>
        <v>8073809.66</v>
      </c>
      <c r="BO34" s="24"/>
      <c r="BP34" s="24"/>
      <c r="BQ34" s="27" t="s">
        <v>71</v>
      </c>
    </row>
    <row r="35" spans="1:69" s="1" customFormat="1" ht="13.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1813900</f>
        <v>1813900</v>
      </c>
      <c r="V35" s="24"/>
      <c r="W35" s="24"/>
      <c r="X35" s="25" t="s">
        <v>71</v>
      </c>
      <c r="Y35" s="25"/>
      <c r="Z35" s="25"/>
      <c r="AA35" s="25"/>
      <c r="AB35" s="24">
        <f>1813900</f>
        <v>1813900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1813900</f>
        <v>1813900</v>
      </c>
      <c r="AU35" s="24"/>
      <c r="AV35" s="24"/>
      <c r="AW35" s="25" t="s">
        <v>71</v>
      </c>
      <c r="AX35" s="25"/>
      <c r="AY35" s="24">
        <f>1840913.77</f>
        <v>1840913.77</v>
      </c>
      <c r="AZ35" s="24"/>
      <c r="BA35" s="25" t="s">
        <v>71</v>
      </c>
      <c r="BB35" s="25"/>
      <c r="BC35" s="25"/>
      <c r="BD35" s="24">
        <f>1840913.77</f>
        <v>1840913.77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1840913.77</f>
        <v>1840913.77</v>
      </c>
      <c r="BO35" s="24"/>
      <c r="BP35" s="24"/>
      <c r="BQ35" s="27" t="s">
        <v>71</v>
      </c>
    </row>
    <row r="36" spans="1:69" s="1" customFormat="1" ht="33.7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1813900</f>
        <v>1813900</v>
      </c>
      <c r="V36" s="24"/>
      <c r="W36" s="24"/>
      <c r="X36" s="25" t="s">
        <v>71</v>
      </c>
      <c r="Y36" s="25"/>
      <c r="Z36" s="25"/>
      <c r="AA36" s="25"/>
      <c r="AB36" s="24">
        <f>1813900</f>
        <v>1813900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1813900</f>
        <v>1813900</v>
      </c>
      <c r="AU36" s="24"/>
      <c r="AV36" s="24"/>
      <c r="AW36" s="25" t="s">
        <v>71</v>
      </c>
      <c r="AX36" s="25"/>
      <c r="AY36" s="24">
        <f>1840913.77</f>
        <v>1840913.77</v>
      </c>
      <c r="AZ36" s="24"/>
      <c r="BA36" s="25" t="s">
        <v>71</v>
      </c>
      <c r="BB36" s="25"/>
      <c r="BC36" s="25"/>
      <c r="BD36" s="24">
        <f>1840913.77</f>
        <v>1840913.77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1840913.77</f>
        <v>1840913.77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4798000</f>
        <v>4798000</v>
      </c>
      <c r="V37" s="24"/>
      <c r="W37" s="24"/>
      <c r="X37" s="25" t="s">
        <v>71</v>
      </c>
      <c r="Y37" s="25"/>
      <c r="Z37" s="25"/>
      <c r="AA37" s="25"/>
      <c r="AB37" s="24">
        <f>4798000</f>
        <v>4798000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4798000</f>
        <v>4798000</v>
      </c>
      <c r="AU37" s="24"/>
      <c r="AV37" s="24"/>
      <c r="AW37" s="25" t="s">
        <v>71</v>
      </c>
      <c r="AX37" s="25"/>
      <c r="AY37" s="24">
        <f>6232895.89</f>
        <v>6232895.89</v>
      </c>
      <c r="AZ37" s="24"/>
      <c r="BA37" s="25" t="s">
        <v>71</v>
      </c>
      <c r="BB37" s="25"/>
      <c r="BC37" s="25"/>
      <c r="BD37" s="24">
        <f>6232895.89</f>
        <v>6232895.89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6232895.89</f>
        <v>6232895.89</v>
      </c>
      <c r="BO37" s="24"/>
      <c r="BP37" s="24"/>
      <c r="BQ37" s="27" t="s">
        <v>71</v>
      </c>
    </row>
    <row r="38" spans="1:69" s="1" customFormat="1" ht="13.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2395000</f>
        <v>2395000</v>
      </c>
      <c r="V38" s="24"/>
      <c r="W38" s="24"/>
      <c r="X38" s="25" t="s">
        <v>71</v>
      </c>
      <c r="Y38" s="25"/>
      <c r="Z38" s="25"/>
      <c r="AA38" s="25"/>
      <c r="AB38" s="24">
        <f>2395000</f>
        <v>2395000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2395000</f>
        <v>2395000</v>
      </c>
      <c r="AU38" s="24"/>
      <c r="AV38" s="24"/>
      <c r="AW38" s="25" t="s">
        <v>71</v>
      </c>
      <c r="AX38" s="25"/>
      <c r="AY38" s="24">
        <f>3847200.38</f>
        <v>3847200.38</v>
      </c>
      <c r="AZ38" s="24"/>
      <c r="BA38" s="25" t="s">
        <v>71</v>
      </c>
      <c r="BB38" s="25"/>
      <c r="BC38" s="25"/>
      <c r="BD38" s="24">
        <f>3847200.38</f>
        <v>3847200.38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3847200.38</f>
        <v>3847200.38</v>
      </c>
      <c r="BO38" s="24"/>
      <c r="BP38" s="24"/>
      <c r="BQ38" s="27" t="s">
        <v>71</v>
      </c>
    </row>
    <row r="39" spans="1:69" s="1" customFormat="1" ht="33.7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2395000</f>
        <v>2395000</v>
      </c>
      <c r="V39" s="24"/>
      <c r="W39" s="24"/>
      <c r="X39" s="25" t="s">
        <v>71</v>
      </c>
      <c r="Y39" s="25"/>
      <c r="Z39" s="25"/>
      <c r="AA39" s="25"/>
      <c r="AB39" s="24">
        <f>2395000</f>
        <v>2395000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2395000</f>
        <v>2395000</v>
      </c>
      <c r="AU39" s="24"/>
      <c r="AV39" s="24"/>
      <c r="AW39" s="25" t="s">
        <v>71</v>
      </c>
      <c r="AX39" s="25"/>
      <c r="AY39" s="24">
        <f>3847200.38</f>
        <v>3847200.38</v>
      </c>
      <c r="AZ39" s="24"/>
      <c r="BA39" s="25" t="s">
        <v>71</v>
      </c>
      <c r="BB39" s="25"/>
      <c r="BC39" s="25"/>
      <c r="BD39" s="24">
        <f>3847200.38</f>
        <v>3847200.38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3847200.38</f>
        <v>3847200.38</v>
      </c>
      <c r="BO39" s="24"/>
      <c r="BP39" s="24"/>
      <c r="BQ39" s="27" t="s">
        <v>71</v>
      </c>
    </row>
    <row r="40" spans="1:69" s="1" customFormat="1" ht="13.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2403000</f>
        <v>2403000</v>
      </c>
      <c r="V40" s="24"/>
      <c r="W40" s="24"/>
      <c r="X40" s="25" t="s">
        <v>71</v>
      </c>
      <c r="Y40" s="25"/>
      <c r="Z40" s="25"/>
      <c r="AA40" s="25"/>
      <c r="AB40" s="24">
        <f>2403000</f>
        <v>2403000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2403000</f>
        <v>2403000</v>
      </c>
      <c r="AU40" s="24"/>
      <c r="AV40" s="24"/>
      <c r="AW40" s="25" t="s">
        <v>71</v>
      </c>
      <c r="AX40" s="25"/>
      <c r="AY40" s="24">
        <f>2385695.51</f>
        <v>2385695.51</v>
      </c>
      <c r="AZ40" s="24"/>
      <c r="BA40" s="25" t="s">
        <v>71</v>
      </c>
      <c r="BB40" s="25"/>
      <c r="BC40" s="25"/>
      <c r="BD40" s="24">
        <f>2385695.51</f>
        <v>2385695.51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2385695.51</f>
        <v>2385695.51</v>
      </c>
      <c r="BO40" s="24"/>
      <c r="BP40" s="24"/>
      <c r="BQ40" s="27" t="s">
        <v>71</v>
      </c>
    </row>
    <row r="41" spans="1:69" s="1" customFormat="1" ht="33.7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4">
        <f>2403000</f>
        <v>2403000</v>
      </c>
      <c r="V41" s="24"/>
      <c r="W41" s="24"/>
      <c r="X41" s="25" t="s">
        <v>71</v>
      </c>
      <c r="Y41" s="25"/>
      <c r="Z41" s="25"/>
      <c r="AA41" s="25"/>
      <c r="AB41" s="24">
        <f>2403000</f>
        <v>2403000</v>
      </c>
      <c r="AC41" s="24"/>
      <c r="AD41" s="24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4">
        <f>2403000</f>
        <v>2403000</v>
      </c>
      <c r="AU41" s="24"/>
      <c r="AV41" s="24"/>
      <c r="AW41" s="25" t="s">
        <v>71</v>
      </c>
      <c r="AX41" s="25"/>
      <c r="AY41" s="24">
        <f>2385695.51</f>
        <v>2385695.51</v>
      </c>
      <c r="AZ41" s="24"/>
      <c r="BA41" s="25" t="s">
        <v>71</v>
      </c>
      <c r="BB41" s="25"/>
      <c r="BC41" s="25"/>
      <c r="BD41" s="24">
        <f>2385695.51</f>
        <v>2385695.51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2385695.51</f>
        <v>2385695.51</v>
      </c>
      <c r="BO41" s="24"/>
      <c r="BP41" s="24"/>
      <c r="BQ41" s="27" t="s">
        <v>71</v>
      </c>
    </row>
    <row r="42" spans="1:69" s="1" customFormat="1" ht="13.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4">
        <f>2100</f>
        <v>2100</v>
      </c>
      <c r="V42" s="24"/>
      <c r="W42" s="24"/>
      <c r="X42" s="25" t="s">
        <v>71</v>
      </c>
      <c r="Y42" s="25"/>
      <c r="Z42" s="25"/>
      <c r="AA42" s="25"/>
      <c r="AB42" s="24">
        <f>2100</f>
        <v>2100</v>
      </c>
      <c r="AC42" s="24"/>
      <c r="AD42" s="24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4">
        <f>2100</f>
        <v>2100</v>
      </c>
      <c r="AU42" s="24"/>
      <c r="AV42" s="24"/>
      <c r="AW42" s="25" t="s">
        <v>71</v>
      </c>
      <c r="AX42" s="25"/>
      <c r="AY42" s="24">
        <f>2100</f>
        <v>2100</v>
      </c>
      <c r="AZ42" s="24"/>
      <c r="BA42" s="25" t="s">
        <v>71</v>
      </c>
      <c r="BB42" s="25"/>
      <c r="BC42" s="25"/>
      <c r="BD42" s="24">
        <f>2100</f>
        <v>2100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2100</f>
        <v>2100</v>
      </c>
      <c r="BO42" s="24"/>
      <c r="BP42" s="24"/>
      <c r="BQ42" s="27" t="s">
        <v>71</v>
      </c>
    </row>
    <row r="43" spans="1:69" s="1" customFormat="1" ht="33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4">
        <f>2100</f>
        <v>2100</v>
      </c>
      <c r="V43" s="24"/>
      <c r="W43" s="24"/>
      <c r="X43" s="25" t="s">
        <v>71</v>
      </c>
      <c r="Y43" s="25"/>
      <c r="Z43" s="25"/>
      <c r="AA43" s="25"/>
      <c r="AB43" s="24">
        <f>2100</f>
        <v>2100</v>
      </c>
      <c r="AC43" s="24"/>
      <c r="AD43" s="24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4">
        <f>2100</f>
        <v>2100</v>
      </c>
      <c r="AU43" s="24"/>
      <c r="AV43" s="24"/>
      <c r="AW43" s="25" t="s">
        <v>71</v>
      </c>
      <c r="AX43" s="25"/>
      <c r="AY43" s="24">
        <f>2100</f>
        <v>2100</v>
      </c>
      <c r="AZ43" s="24"/>
      <c r="BA43" s="25" t="s">
        <v>71</v>
      </c>
      <c r="BB43" s="25"/>
      <c r="BC43" s="25"/>
      <c r="BD43" s="24">
        <f>2100</f>
        <v>2100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2100</f>
        <v>2100</v>
      </c>
      <c r="BO43" s="24"/>
      <c r="BP43" s="24"/>
      <c r="BQ43" s="27" t="s">
        <v>71</v>
      </c>
    </row>
    <row r="44" spans="1:69" s="1" customFormat="1" ht="54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2100</f>
        <v>2100</v>
      </c>
      <c r="V44" s="24"/>
      <c r="W44" s="24"/>
      <c r="X44" s="25" t="s">
        <v>71</v>
      </c>
      <c r="Y44" s="25"/>
      <c r="Z44" s="25"/>
      <c r="AA44" s="25"/>
      <c r="AB44" s="24">
        <f>2100</f>
        <v>2100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2100</f>
        <v>2100</v>
      </c>
      <c r="AU44" s="24"/>
      <c r="AV44" s="24"/>
      <c r="AW44" s="25" t="s">
        <v>71</v>
      </c>
      <c r="AX44" s="25"/>
      <c r="AY44" s="24">
        <f>2100</f>
        <v>2100</v>
      </c>
      <c r="AZ44" s="24"/>
      <c r="BA44" s="25" t="s">
        <v>71</v>
      </c>
      <c r="BB44" s="25"/>
      <c r="BC44" s="25"/>
      <c r="BD44" s="24">
        <f>2100</f>
        <v>2100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2100</f>
        <v>2100</v>
      </c>
      <c r="BO44" s="24"/>
      <c r="BP44" s="24"/>
      <c r="BQ44" s="27" t="s">
        <v>71</v>
      </c>
    </row>
    <row r="45" spans="1:69" s="1" customFormat="1" ht="24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5" t="s">
        <v>71</v>
      </c>
      <c r="V45" s="25"/>
      <c r="W45" s="25"/>
      <c r="X45" s="25" t="s">
        <v>71</v>
      </c>
      <c r="Y45" s="25"/>
      <c r="Z45" s="25"/>
      <c r="AA45" s="25"/>
      <c r="AB45" s="25" t="s">
        <v>71</v>
      </c>
      <c r="AC45" s="25"/>
      <c r="AD45" s="25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5" t="s">
        <v>71</v>
      </c>
      <c r="AU45" s="25"/>
      <c r="AV45" s="25"/>
      <c r="AW45" s="25" t="s">
        <v>71</v>
      </c>
      <c r="AX45" s="25"/>
      <c r="AY45" s="24">
        <f>-14.57</f>
        <v>-14.57</v>
      </c>
      <c r="AZ45" s="24"/>
      <c r="BA45" s="25" t="s">
        <v>71</v>
      </c>
      <c r="BB45" s="25"/>
      <c r="BC45" s="25"/>
      <c r="BD45" s="24">
        <f>-14.57</f>
        <v>-14.57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-14.57</f>
        <v>-14.57</v>
      </c>
      <c r="BO45" s="24"/>
      <c r="BP45" s="24"/>
      <c r="BQ45" s="27" t="s">
        <v>71</v>
      </c>
    </row>
    <row r="46" spans="1:69" s="1" customFormat="1" ht="13.5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5" t="s">
        <v>71</v>
      </c>
      <c r="V46" s="25"/>
      <c r="W46" s="25"/>
      <c r="X46" s="25" t="s">
        <v>71</v>
      </c>
      <c r="Y46" s="25"/>
      <c r="Z46" s="25"/>
      <c r="AA46" s="25"/>
      <c r="AB46" s="25" t="s">
        <v>71</v>
      </c>
      <c r="AC46" s="25"/>
      <c r="AD46" s="25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5" t="s">
        <v>71</v>
      </c>
      <c r="AU46" s="25"/>
      <c r="AV46" s="25"/>
      <c r="AW46" s="25" t="s">
        <v>71</v>
      </c>
      <c r="AX46" s="25"/>
      <c r="AY46" s="24">
        <f>-14.57</f>
        <v>-14.57</v>
      </c>
      <c r="AZ46" s="24"/>
      <c r="BA46" s="25" t="s">
        <v>71</v>
      </c>
      <c r="BB46" s="25"/>
      <c r="BC46" s="25"/>
      <c r="BD46" s="24">
        <f>-14.57</f>
        <v>-14.57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-14.57</f>
        <v>-14.57</v>
      </c>
      <c r="BO46" s="24"/>
      <c r="BP46" s="24"/>
      <c r="BQ46" s="27" t="s">
        <v>71</v>
      </c>
    </row>
    <row r="47" spans="1:69" s="1" customFormat="1" ht="24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5" t="s">
        <v>71</v>
      </c>
      <c r="V47" s="25"/>
      <c r="W47" s="25"/>
      <c r="X47" s="25" t="s">
        <v>71</v>
      </c>
      <c r="Y47" s="25"/>
      <c r="Z47" s="25"/>
      <c r="AA47" s="25"/>
      <c r="AB47" s="25" t="s">
        <v>71</v>
      </c>
      <c r="AC47" s="25"/>
      <c r="AD47" s="25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5" t="s">
        <v>71</v>
      </c>
      <c r="AU47" s="25"/>
      <c r="AV47" s="25"/>
      <c r="AW47" s="25" t="s">
        <v>71</v>
      </c>
      <c r="AX47" s="25"/>
      <c r="AY47" s="24">
        <f>-14.57</f>
        <v>-14.57</v>
      </c>
      <c r="AZ47" s="24"/>
      <c r="BA47" s="25" t="s">
        <v>71</v>
      </c>
      <c r="BB47" s="25"/>
      <c r="BC47" s="25"/>
      <c r="BD47" s="24">
        <f>-14.57</f>
        <v>-14.57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-14.57</f>
        <v>-14.57</v>
      </c>
      <c r="BO47" s="24"/>
      <c r="BP47" s="24"/>
      <c r="BQ47" s="27" t="s">
        <v>71</v>
      </c>
    </row>
    <row r="48" spans="1:69" s="1" customFormat="1" ht="33.75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5" t="s">
        <v>71</v>
      </c>
      <c r="V48" s="25"/>
      <c r="W48" s="25"/>
      <c r="X48" s="25" t="s">
        <v>71</v>
      </c>
      <c r="Y48" s="25"/>
      <c r="Z48" s="25"/>
      <c r="AA48" s="25"/>
      <c r="AB48" s="25" t="s">
        <v>71</v>
      </c>
      <c r="AC48" s="25"/>
      <c r="AD48" s="25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5" t="s">
        <v>71</v>
      </c>
      <c r="AU48" s="25"/>
      <c r="AV48" s="25"/>
      <c r="AW48" s="25" t="s">
        <v>71</v>
      </c>
      <c r="AX48" s="25"/>
      <c r="AY48" s="24">
        <f>-14.57</f>
        <v>-14.57</v>
      </c>
      <c r="AZ48" s="24"/>
      <c r="BA48" s="25" t="s">
        <v>71</v>
      </c>
      <c r="BB48" s="25"/>
      <c r="BC48" s="25"/>
      <c r="BD48" s="24">
        <f>-14.57</f>
        <v>-14.57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-14.57</f>
        <v>-14.57</v>
      </c>
      <c r="BO48" s="24"/>
      <c r="BP48" s="24"/>
      <c r="BQ48" s="27" t="s">
        <v>71</v>
      </c>
    </row>
    <row r="49" spans="1:69" s="1" customFormat="1" ht="33.75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845000</f>
        <v>845000</v>
      </c>
      <c r="V49" s="24"/>
      <c r="W49" s="24"/>
      <c r="X49" s="25" t="s">
        <v>71</v>
      </c>
      <c r="Y49" s="25"/>
      <c r="Z49" s="25"/>
      <c r="AA49" s="25"/>
      <c r="AB49" s="24">
        <f>845000</f>
        <v>845000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845000</f>
        <v>845000</v>
      </c>
      <c r="AU49" s="24"/>
      <c r="AV49" s="24"/>
      <c r="AW49" s="25" t="s">
        <v>71</v>
      </c>
      <c r="AX49" s="25"/>
      <c r="AY49" s="24">
        <f>845372.61</f>
        <v>845372.61</v>
      </c>
      <c r="AZ49" s="24"/>
      <c r="BA49" s="25" t="s">
        <v>71</v>
      </c>
      <c r="BB49" s="25"/>
      <c r="BC49" s="25"/>
      <c r="BD49" s="24">
        <f>845372.61</f>
        <v>845372.61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845372.61</f>
        <v>845372.61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845000</f>
        <v>845000</v>
      </c>
      <c r="V50" s="24"/>
      <c r="W50" s="24"/>
      <c r="X50" s="25" t="s">
        <v>71</v>
      </c>
      <c r="Y50" s="25"/>
      <c r="Z50" s="25"/>
      <c r="AA50" s="25"/>
      <c r="AB50" s="24">
        <f>845000</f>
        <v>845000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845000</f>
        <v>845000</v>
      </c>
      <c r="AU50" s="24"/>
      <c r="AV50" s="24"/>
      <c r="AW50" s="25" t="s">
        <v>71</v>
      </c>
      <c r="AX50" s="25"/>
      <c r="AY50" s="24">
        <f>845372.61</f>
        <v>845372.61</v>
      </c>
      <c r="AZ50" s="24"/>
      <c r="BA50" s="25" t="s">
        <v>71</v>
      </c>
      <c r="BB50" s="25"/>
      <c r="BC50" s="25"/>
      <c r="BD50" s="24">
        <f>845372.61</f>
        <v>845372.61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845372.61</f>
        <v>845372.61</v>
      </c>
      <c r="BO50" s="24"/>
      <c r="BP50" s="24"/>
      <c r="BQ50" s="27" t="s">
        <v>71</v>
      </c>
    </row>
    <row r="51" spans="1:69" s="1" customFormat="1" ht="66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4">
        <f>845000</f>
        <v>845000</v>
      </c>
      <c r="V51" s="24"/>
      <c r="W51" s="24"/>
      <c r="X51" s="25" t="s">
        <v>71</v>
      </c>
      <c r="Y51" s="25"/>
      <c r="Z51" s="25"/>
      <c r="AA51" s="25"/>
      <c r="AB51" s="24">
        <f>845000</f>
        <v>845000</v>
      </c>
      <c r="AC51" s="24"/>
      <c r="AD51" s="24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4">
        <f>845000</f>
        <v>845000</v>
      </c>
      <c r="AU51" s="24"/>
      <c r="AV51" s="24"/>
      <c r="AW51" s="25" t="s">
        <v>71</v>
      </c>
      <c r="AX51" s="25"/>
      <c r="AY51" s="24">
        <f>845372.61</f>
        <v>845372.61</v>
      </c>
      <c r="AZ51" s="24"/>
      <c r="BA51" s="25" t="s">
        <v>71</v>
      </c>
      <c r="BB51" s="25"/>
      <c r="BC51" s="25"/>
      <c r="BD51" s="24">
        <f>845372.61</f>
        <v>845372.61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845372.61</f>
        <v>845372.61</v>
      </c>
      <c r="BO51" s="24"/>
      <c r="BP51" s="24"/>
      <c r="BQ51" s="27" t="s">
        <v>71</v>
      </c>
    </row>
    <row r="52" spans="1:69" s="1" customFormat="1" ht="66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4">
        <f>845000</f>
        <v>845000</v>
      </c>
      <c r="V52" s="24"/>
      <c r="W52" s="24"/>
      <c r="X52" s="25" t="s">
        <v>71</v>
      </c>
      <c r="Y52" s="25"/>
      <c r="Z52" s="25"/>
      <c r="AA52" s="25"/>
      <c r="AB52" s="24">
        <f>845000</f>
        <v>845000</v>
      </c>
      <c r="AC52" s="24"/>
      <c r="AD52" s="24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4">
        <f>845000</f>
        <v>845000</v>
      </c>
      <c r="AU52" s="24"/>
      <c r="AV52" s="24"/>
      <c r="AW52" s="25" t="s">
        <v>71</v>
      </c>
      <c r="AX52" s="25"/>
      <c r="AY52" s="24">
        <f>845372.61</f>
        <v>845372.61</v>
      </c>
      <c r="AZ52" s="24"/>
      <c r="BA52" s="25" t="s">
        <v>71</v>
      </c>
      <c r="BB52" s="25"/>
      <c r="BC52" s="25"/>
      <c r="BD52" s="24">
        <f>845372.61</f>
        <v>845372.61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845372.61</f>
        <v>845372.61</v>
      </c>
      <c r="BO52" s="24"/>
      <c r="BP52" s="24"/>
      <c r="BQ52" s="27" t="s">
        <v>71</v>
      </c>
    </row>
    <row r="53" spans="1:69" s="1" customFormat="1" ht="24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4">
        <f>30260</f>
        <v>30260</v>
      </c>
      <c r="V53" s="24"/>
      <c r="W53" s="24"/>
      <c r="X53" s="25" t="s">
        <v>71</v>
      </c>
      <c r="Y53" s="25"/>
      <c r="Z53" s="25"/>
      <c r="AA53" s="25"/>
      <c r="AB53" s="24">
        <f>30260</f>
        <v>30260</v>
      </c>
      <c r="AC53" s="24"/>
      <c r="AD53" s="24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4">
        <f>30260</f>
        <v>30260</v>
      </c>
      <c r="AU53" s="24"/>
      <c r="AV53" s="24"/>
      <c r="AW53" s="25" t="s">
        <v>71</v>
      </c>
      <c r="AX53" s="25"/>
      <c r="AY53" s="24">
        <f>30260</f>
        <v>30260</v>
      </c>
      <c r="AZ53" s="24"/>
      <c r="BA53" s="25" t="s">
        <v>71</v>
      </c>
      <c r="BB53" s="25"/>
      <c r="BC53" s="25"/>
      <c r="BD53" s="24">
        <f>30260</f>
        <v>30260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30260</f>
        <v>30260</v>
      </c>
      <c r="BO53" s="24"/>
      <c r="BP53" s="24"/>
      <c r="BQ53" s="27" t="s">
        <v>71</v>
      </c>
    </row>
    <row r="54" spans="1:69" s="1" customFormat="1" ht="66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4">
        <f>30260</f>
        <v>30260</v>
      </c>
      <c r="V54" s="24"/>
      <c r="W54" s="24"/>
      <c r="X54" s="25" t="s">
        <v>71</v>
      </c>
      <c r="Y54" s="25"/>
      <c r="Z54" s="25"/>
      <c r="AA54" s="25"/>
      <c r="AB54" s="24">
        <f>30260</f>
        <v>30260</v>
      </c>
      <c r="AC54" s="24"/>
      <c r="AD54" s="24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4">
        <f>30260</f>
        <v>30260</v>
      </c>
      <c r="AU54" s="24"/>
      <c r="AV54" s="24"/>
      <c r="AW54" s="25" t="s">
        <v>71</v>
      </c>
      <c r="AX54" s="25"/>
      <c r="AY54" s="24">
        <f>30260</f>
        <v>30260</v>
      </c>
      <c r="AZ54" s="24"/>
      <c r="BA54" s="25" t="s">
        <v>71</v>
      </c>
      <c r="BB54" s="25"/>
      <c r="BC54" s="25"/>
      <c r="BD54" s="24">
        <f>30260</f>
        <v>30260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30260</f>
        <v>30260</v>
      </c>
      <c r="BO54" s="24"/>
      <c r="BP54" s="24"/>
      <c r="BQ54" s="27" t="s">
        <v>71</v>
      </c>
    </row>
    <row r="55" spans="1:69" s="1" customFormat="1" ht="75.7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4">
        <f>30260</f>
        <v>30260</v>
      </c>
      <c r="V55" s="24"/>
      <c r="W55" s="24"/>
      <c r="X55" s="25" t="s">
        <v>71</v>
      </c>
      <c r="Y55" s="25"/>
      <c r="Z55" s="25"/>
      <c r="AA55" s="25"/>
      <c r="AB55" s="24">
        <f>30260</f>
        <v>30260</v>
      </c>
      <c r="AC55" s="24"/>
      <c r="AD55" s="24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4">
        <f>30260</f>
        <v>30260</v>
      </c>
      <c r="AU55" s="24"/>
      <c r="AV55" s="24"/>
      <c r="AW55" s="25" t="s">
        <v>71</v>
      </c>
      <c r="AX55" s="25"/>
      <c r="AY55" s="24">
        <f>30260</f>
        <v>30260</v>
      </c>
      <c r="AZ55" s="24"/>
      <c r="BA55" s="25" t="s">
        <v>71</v>
      </c>
      <c r="BB55" s="25"/>
      <c r="BC55" s="25"/>
      <c r="BD55" s="24">
        <f>30260</f>
        <v>30260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30260</f>
        <v>30260</v>
      </c>
      <c r="BO55" s="24"/>
      <c r="BP55" s="24"/>
      <c r="BQ55" s="27" t="s">
        <v>71</v>
      </c>
    </row>
    <row r="56" spans="1:69" s="1" customFormat="1" ht="75.75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4">
        <f>30260</f>
        <v>30260</v>
      </c>
      <c r="V56" s="24"/>
      <c r="W56" s="24"/>
      <c r="X56" s="25" t="s">
        <v>71</v>
      </c>
      <c r="Y56" s="25"/>
      <c r="Z56" s="25"/>
      <c r="AA56" s="25"/>
      <c r="AB56" s="24">
        <f>30260</f>
        <v>30260</v>
      </c>
      <c r="AC56" s="24"/>
      <c r="AD56" s="24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4">
        <f>30260</f>
        <v>30260</v>
      </c>
      <c r="AU56" s="24"/>
      <c r="AV56" s="24"/>
      <c r="AW56" s="25" t="s">
        <v>71</v>
      </c>
      <c r="AX56" s="25"/>
      <c r="AY56" s="24">
        <f>30260</f>
        <v>30260</v>
      </c>
      <c r="AZ56" s="24"/>
      <c r="BA56" s="25" t="s">
        <v>71</v>
      </c>
      <c r="BB56" s="25"/>
      <c r="BC56" s="25"/>
      <c r="BD56" s="24">
        <f>30260</f>
        <v>30260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30260</f>
        <v>30260</v>
      </c>
      <c r="BO56" s="24"/>
      <c r="BP56" s="24"/>
      <c r="BQ56" s="27" t="s">
        <v>71</v>
      </c>
    </row>
    <row r="57" spans="1:69" s="1" customFormat="1" ht="13.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4">
        <f>12418</f>
        <v>12418</v>
      </c>
      <c r="V57" s="24"/>
      <c r="W57" s="24"/>
      <c r="X57" s="25" t="s">
        <v>71</v>
      </c>
      <c r="Y57" s="25"/>
      <c r="Z57" s="25"/>
      <c r="AA57" s="25"/>
      <c r="AB57" s="24">
        <f>12418</f>
        <v>12418</v>
      </c>
      <c r="AC57" s="24"/>
      <c r="AD57" s="24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4">
        <f>12418</f>
        <v>12418</v>
      </c>
      <c r="AU57" s="24"/>
      <c r="AV57" s="24"/>
      <c r="AW57" s="25" t="s">
        <v>71</v>
      </c>
      <c r="AX57" s="25"/>
      <c r="AY57" s="24">
        <f>25125.35</f>
        <v>25125.35</v>
      </c>
      <c r="AZ57" s="24"/>
      <c r="BA57" s="25" t="s">
        <v>71</v>
      </c>
      <c r="BB57" s="25"/>
      <c r="BC57" s="25"/>
      <c r="BD57" s="24">
        <f>25125.35</f>
        <v>25125.35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25125.35</f>
        <v>25125.35</v>
      </c>
      <c r="BO57" s="24"/>
      <c r="BP57" s="24"/>
      <c r="BQ57" s="27" t="s">
        <v>71</v>
      </c>
    </row>
    <row r="58" spans="1:69" s="1" customFormat="1" ht="33.7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5" t="s">
        <v>71</v>
      </c>
      <c r="V58" s="25"/>
      <c r="W58" s="25"/>
      <c r="X58" s="25" t="s">
        <v>71</v>
      </c>
      <c r="Y58" s="25"/>
      <c r="Z58" s="25"/>
      <c r="AA58" s="25"/>
      <c r="AB58" s="25" t="s">
        <v>71</v>
      </c>
      <c r="AC58" s="25"/>
      <c r="AD58" s="25"/>
      <c r="AE58" s="26" t="s">
        <v>71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5" t="s">
        <v>71</v>
      </c>
      <c r="AU58" s="25"/>
      <c r="AV58" s="25"/>
      <c r="AW58" s="25" t="s">
        <v>71</v>
      </c>
      <c r="AX58" s="25"/>
      <c r="AY58" s="24">
        <f>1500</f>
        <v>1500</v>
      </c>
      <c r="AZ58" s="24"/>
      <c r="BA58" s="25" t="s">
        <v>71</v>
      </c>
      <c r="BB58" s="25"/>
      <c r="BC58" s="25"/>
      <c r="BD58" s="24">
        <f>1500</f>
        <v>1500</v>
      </c>
      <c r="BE58" s="24"/>
      <c r="BF58" s="26" t="s">
        <v>71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1500</f>
        <v>1500</v>
      </c>
      <c r="BO58" s="24"/>
      <c r="BP58" s="24"/>
      <c r="BQ58" s="27" t="s">
        <v>71</v>
      </c>
    </row>
    <row r="59" spans="1:69" s="1" customFormat="1" ht="4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5" t="s">
        <v>71</v>
      </c>
      <c r="V59" s="25"/>
      <c r="W59" s="25"/>
      <c r="X59" s="25" t="s">
        <v>71</v>
      </c>
      <c r="Y59" s="25"/>
      <c r="Z59" s="25"/>
      <c r="AA59" s="25"/>
      <c r="AB59" s="25" t="s">
        <v>71</v>
      </c>
      <c r="AC59" s="25"/>
      <c r="AD59" s="25"/>
      <c r="AE59" s="26" t="s">
        <v>71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5" t="s">
        <v>71</v>
      </c>
      <c r="AU59" s="25"/>
      <c r="AV59" s="25"/>
      <c r="AW59" s="25" t="s">
        <v>71</v>
      </c>
      <c r="AX59" s="25"/>
      <c r="AY59" s="24">
        <f>1500</f>
        <v>1500</v>
      </c>
      <c r="AZ59" s="24"/>
      <c r="BA59" s="25" t="s">
        <v>71</v>
      </c>
      <c r="BB59" s="25"/>
      <c r="BC59" s="25"/>
      <c r="BD59" s="24">
        <f>1500</f>
        <v>1500</v>
      </c>
      <c r="BE59" s="24"/>
      <c r="BF59" s="26" t="s">
        <v>71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1500</f>
        <v>1500</v>
      </c>
      <c r="BO59" s="24"/>
      <c r="BP59" s="24"/>
      <c r="BQ59" s="27" t="s">
        <v>71</v>
      </c>
    </row>
    <row r="60" spans="1:69" s="1" customFormat="1" ht="85.5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5" t="s">
        <v>71</v>
      </c>
      <c r="V60" s="25"/>
      <c r="W60" s="25"/>
      <c r="X60" s="25" t="s">
        <v>71</v>
      </c>
      <c r="Y60" s="25"/>
      <c r="Z60" s="25"/>
      <c r="AA60" s="25"/>
      <c r="AB60" s="25" t="s">
        <v>71</v>
      </c>
      <c r="AC60" s="25"/>
      <c r="AD60" s="25"/>
      <c r="AE60" s="26" t="s">
        <v>71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5" t="s">
        <v>71</v>
      </c>
      <c r="AU60" s="25"/>
      <c r="AV60" s="25"/>
      <c r="AW60" s="25" t="s">
        <v>71</v>
      </c>
      <c r="AX60" s="25"/>
      <c r="AY60" s="24">
        <f>11207.27</f>
        <v>11207.27</v>
      </c>
      <c r="AZ60" s="24"/>
      <c r="BA60" s="25" t="s">
        <v>71</v>
      </c>
      <c r="BB60" s="25"/>
      <c r="BC60" s="25"/>
      <c r="BD60" s="24">
        <f>11207.27</f>
        <v>11207.27</v>
      </c>
      <c r="BE60" s="24"/>
      <c r="BF60" s="26" t="s">
        <v>71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11207.27</f>
        <v>11207.27</v>
      </c>
      <c r="BO60" s="24"/>
      <c r="BP60" s="24"/>
      <c r="BQ60" s="27" t="s">
        <v>71</v>
      </c>
    </row>
    <row r="61" spans="1:69" s="1" customFormat="1" ht="4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5" t="s">
        <v>71</v>
      </c>
      <c r="V61" s="25"/>
      <c r="W61" s="25"/>
      <c r="X61" s="25" t="s">
        <v>71</v>
      </c>
      <c r="Y61" s="25"/>
      <c r="Z61" s="25"/>
      <c r="AA61" s="25"/>
      <c r="AB61" s="25" t="s">
        <v>71</v>
      </c>
      <c r="AC61" s="25"/>
      <c r="AD61" s="25"/>
      <c r="AE61" s="26" t="s">
        <v>71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5" t="s">
        <v>71</v>
      </c>
      <c r="AU61" s="25"/>
      <c r="AV61" s="25"/>
      <c r="AW61" s="25" t="s">
        <v>71</v>
      </c>
      <c r="AX61" s="25"/>
      <c r="AY61" s="24">
        <f>11207.27</f>
        <v>11207.27</v>
      </c>
      <c r="AZ61" s="24"/>
      <c r="BA61" s="25" t="s">
        <v>71</v>
      </c>
      <c r="BB61" s="25"/>
      <c r="BC61" s="25"/>
      <c r="BD61" s="24">
        <f>11207.27</f>
        <v>11207.27</v>
      </c>
      <c r="BE61" s="24"/>
      <c r="BF61" s="26" t="s">
        <v>71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11207.27</f>
        <v>11207.27</v>
      </c>
      <c r="BO61" s="24"/>
      <c r="BP61" s="24"/>
      <c r="BQ61" s="27" t="s">
        <v>71</v>
      </c>
    </row>
    <row r="62" spans="1:69" s="1" customFormat="1" ht="66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5" t="s">
        <v>71</v>
      </c>
      <c r="V62" s="25"/>
      <c r="W62" s="25"/>
      <c r="X62" s="25" t="s">
        <v>71</v>
      </c>
      <c r="Y62" s="25"/>
      <c r="Z62" s="25"/>
      <c r="AA62" s="25"/>
      <c r="AB62" s="25" t="s">
        <v>71</v>
      </c>
      <c r="AC62" s="25"/>
      <c r="AD62" s="25"/>
      <c r="AE62" s="26" t="s">
        <v>71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5" t="s">
        <v>71</v>
      </c>
      <c r="AU62" s="25"/>
      <c r="AV62" s="25"/>
      <c r="AW62" s="25" t="s">
        <v>71</v>
      </c>
      <c r="AX62" s="25"/>
      <c r="AY62" s="24">
        <f>11207.27</f>
        <v>11207.27</v>
      </c>
      <c r="AZ62" s="24"/>
      <c r="BA62" s="25" t="s">
        <v>71</v>
      </c>
      <c r="BB62" s="25"/>
      <c r="BC62" s="25"/>
      <c r="BD62" s="24">
        <f>11207.27</f>
        <v>11207.27</v>
      </c>
      <c r="BE62" s="24"/>
      <c r="BF62" s="26" t="s">
        <v>71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11207.27</f>
        <v>11207.27</v>
      </c>
      <c r="BO62" s="24"/>
      <c r="BP62" s="24"/>
      <c r="BQ62" s="27" t="s">
        <v>71</v>
      </c>
    </row>
    <row r="63" spans="1:69" s="1" customFormat="1" ht="24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>12418</f>
        <v>12418</v>
      </c>
      <c r="V63" s="24"/>
      <c r="W63" s="24"/>
      <c r="X63" s="25" t="s">
        <v>71</v>
      </c>
      <c r="Y63" s="25"/>
      <c r="Z63" s="25"/>
      <c r="AA63" s="25"/>
      <c r="AB63" s="24">
        <f>12418</f>
        <v>12418</v>
      </c>
      <c r="AC63" s="24"/>
      <c r="AD63" s="24"/>
      <c r="AE63" s="26" t="s">
        <v>71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12418</f>
        <v>12418</v>
      </c>
      <c r="AU63" s="24"/>
      <c r="AV63" s="24"/>
      <c r="AW63" s="25" t="s">
        <v>71</v>
      </c>
      <c r="AX63" s="25"/>
      <c r="AY63" s="24">
        <f>12418.08</f>
        <v>12418.08</v>
      </c>
      <c r="AZ63" s="24"/>
      <c r="BA63" s="25" t="s">
        <v>71</v>
      </c>
      <c r="BB63" s="25"/>
      <c r="BC63" s="25"/>
      <c r="BD63" s="24">
        <f>12418.08</f>
        <v>12418.08</v>
      </c>
      <c r="BE63" s="24"/>
      <c r="BF63" s="26" t="s">
        <v>71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12418.08</f>
        <v>12418.08</v>
      </c>
      <c r="BO63" s="24"/>
      <c r="BP63" s="24"/>
      <c r="BQ63" s="27" t="s">
        <v>71</v>
      </c>
    </row>
    <row r="64" spans="1:69" s="1" customFormat="1" ht="75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>12418</f>
        <v>12418</v>
      </c>
      <c r="V64" s="24"/>
      <c r="W64" s="24"/>
      <c r="X64" s="25" t="s">
        <v>71</v>
      </c>
      <c r="Y64" s="25"/>
      <c r="Z64" s="25"/>
      <c r="AA64" s="25"/>
      <c r="AB64" s="24">
        <f>12418</f>
        <v>12418</v>
      </c>
      <c r="AC64" s="24"/>
      <c r="AD64" s="24"/>
      <c r="AE64" s="26" t="s">
        <v>71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12418</f>
        <v>12418</v>
      </c>
      <c r="AU64" s="24"/>
      <c r="AV64" s="24"/>
      <c r="AW64" s="25" t="s">
        <v>71</v>
      </c>
      <c r="AX64" s="25"/>
      <c r="AY64" s="24">
        <f>12418.08</f>
        <v>12418.08</v>
      </c>
      <c r="AZ64" s="24"/>
      <c r="BA64" s="25" t="s">
        <v>71</v>
      </c>
      <c r="BB64" s="25"/>
      <c r="BC64" s="25"/>
      <c r="BD64" s="24">
        <f>12418.08</f>
        <v>12418.08</v>
      </c>
      <c r="BE64" s="24"/>
      <c r="BF64" s="26" t="s">
        <v>71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12418.08</f>
        <v>12418.08</v>
      </c>
      <c r="BO64" s="24"/>
      <c r="BP64" s="24"/>
      <c r="BQ64" s="27" t="s">
        <v>71</v>
      </c>
    </row>
    <row r="65" spans="1:69" s="1" customFormat="1" ht="54.75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>12418</f>
        <v>12418</v>
      </c>
      <c r="V65" s="24"/>
      <c r="W65" s="24"/>
      <c r="X65" s="25" t="s">
        <v>71</v>
      </c>
      <c r="Y65" s="25"/>
      <c r="Z65" s="25"/>
      <c r="AA65" s="25"/>
      <c r="AB65" s="24">
        <f>12418</f>
        <v>12418</v>
      </c>
      <c r="AC65" s="24"/>
      <c r="AD65" s="24"/>
      <c r="AE65" s="26" t="s">
        <v>71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12418</f>
        <v>12418</v>
      </c>
      <c r="AU65" s="24"/>
      <c r="AV65" s="24"/>
      <c r="AW65" s="25" t="s">
        <v>71</v>
      </c>
      <c r="AX65" s="25"/>
      <c r="AY65" s="24">
        <f>12418.08</f>
        <v>12418.08</v>
      </c>
      <c r="AZ65" s="24"/>
      <c r="BA65" s="25" t="s">
        <v>71</v>
      </c>
      <c r="BB65" s="25"/>
      <c r="BC65" s="25"/>
      <c r="BD65" s="24">
        <f>12418.08</f>
        <v>12418.08</v>
      </c>
      <c r="BE65" s="24"/>
      <c r="BF65" s="26" t="s">
        <v>71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12418.08</f>
        <v>12418.08</v>
      </c>
      <c r="BO65" s="24"/>
      <c r="BP65" s="24"/>
      <c r="BQ65" s="27" t="s">
        <v>71</v>
      </c>
    </row>
    <row r="66" spans="1:69" s="1" customFormat="1" ht="13.5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>55000</f>
        <v>55000</v>
      </c>
      <c r="V66" s="24"/>
      <c r="W66" s="24"/>
      <c r="X66" s="25" t="s">
        <v>71</v>
      </c>
      <c r="Y66" s="25"/>
      <c r="Z66" s="25"/>
      <c r="AA66" s="25"/>
      <c r="AB66" s="24">
        <f>55000</f>
        <v>55000</v>
      </c>
      <c r="AC66" s="24"/>
      <c r="AD66" s="24"/>
      <c r="AE66" s="28">
        <f>22591419.28</f>
        <v>22591419.28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22646419.28</f>
        <v>22646419.28</v>
      </c>
      <c r="AU66" s="24"/>
      <c r="AV66" s="24"/>
      <c r="AW66" s="25" t="s">
        <v>71</v>
      </c>
      <c r="AX66" s="25"/>
      <c r="AY66" s="24">
        <f>22646408.07</f>
        <v>22646408.07</v>
      </c>
      <c r="AZ66" s="24"/>
      <c r="BA66" s="25" t="s">
        <v>71</v>
      </c>
      <c r="BB66" s="25"/>
      <c r="BC66" s="25"/>
      <c r="BD66" s="24">
        <f>22646408.07</f>
        <v>22646408.07</v>
      </c>
      <c r="BE66" s="24"/>
      <c r="BF66" s="28">
        <f aca="true" t="shared" si="0" ref="BF66:BF84">0</f>
        <v>0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22646408.07</f>
        <v>22646408.07</v>
      </c>
      <c r="BO66" s="24"/>
      <c r="BP66" s="24"/>
      <c r="BQ66" s="27" t="s">
        <v>71</v>
      </c>
    </row>
    <row r="67" spans="1:69" s="1" customFormat="1" ht="24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aca="true" t="shared" si="1" ref="U67:U84">0</f>
        <v>0</v>
      </c>
      <c r="V67" s="24"/>
      <c r="W67" s="24"/>
      <c r="X67" s="25" t="s">
        <v>71</v>
      </c>
      <c r="Y67" s="25"/>
      <c r="Z67" s="25"/>
      <c r="AA67" s="25"/>
      <c r="AB67" s="24">
        <f aca="true" t="shared" si="2" ref="AB67:AB84">0</f>
        <v>0</v>
      </c>
      <c r="AC67" s="24"/>
      <c r="AD67" s="24"/>
      <c r="AE67" s="28">
        <f>22591419.28</f>
        <v>22591419.28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22591419.28</f>
        <v>22591419.28</v>
      </c>
      <c r="AU67" s="24"/>
      <c r="AV67" s="24"/>
      <c r="AW67" s="25" t="s">
        <v>71</v>
      </c>
      <c r="AX67" s="25"/>
      <c r="AY67" s="24">
        <f>22591408.07</f>
        <v>22591408.07</v>
      </c>
      <c r="AZ67" s="24"/>
      <c r="BA67" s="25" t="s">
        <v>71</v>
      </c>
      <c r="BB67" s="25"/>
      <c r="BC67" s="25"/>
      <c r="BD67" s="24">
        <f>22591408.07</f>
        <v>22591408.07</v>
      </c>
      <c r="BE67" s="24"/>
      <c r="BF67" s="28">
        <f t="shared" si="0"/>
        <v>0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4">
        <f>22591408.07</f>
        <v>22591408.07</v>
      </c>
      <c r="BO67" s="24"/>
      <c r="BP67" s="24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1"/>
        <v>0</v>
      </c>
      <c r="V68" s="24"/>
      <c r="W68" s="24"/>
      <c r="X68" s="25" t="s">
        <v>71</v>
      </c>
      <c r="Y68" s="25"/>
      <c r="Z68" s="25"/>
      <c r="AA68" s="25"/>
      <c r="AB68" s="24">
        <f t="shared" si="2"/>
        <v>0</v>
      </c>
      <c r="AC68" s="24"/>
      <c r="AD68" s="24"/>
      <c r="AE68" s="28">
        <f>13308000</f>
        <v>13308000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13308000</f>
        <v>13308000</v>
      </c>
      <c r="AU68" s="24"/>
      <c r="AV68" s="24"/>
      <c r="AW68" s="25" t="s">
        <v>71</v>
      </c>
      <c r="AX68" s="25"/>
      <c r="AY68" s="24">
        <f>13308000</f>
        <v>13308000</v>
      </c>
      <c r="AZ68" s="24"/>
      <c r="BA68" s="25" t="s">
        <v>71</v>
      </c>
      <c r="BB68" s="25"/>
      <c r="BC68" s="25"/>
      <c r="BD68" s="24">
        <f>13308000</f>
        <v>13308000</v>
      </c>
      <c r="BE68" s="24"/>
      <c r="BF68" s="28">
        <f t="shared" si="0"/>
        <v>0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4">
        <f>13308000</f>
        <v>13308000</v>
      </c>
      <c r="BO68" s="24"/>
      <c r="BP68" s="24"/>
      <c r="BQ68" s="27" t="s">
        <v>71</v>
      </c>
    </row>
    <row r="69" spans="1:69" s="1" customFormat="1" ht="13.5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1"/>
        <v>0</v>
      </c>
      <c r="V69" s="24"/>
      <c r="W69" s="24"/>
      <c r="X69" s="25" t="s">
        <v>71</v>
      </c>
      <c r="Y69" s="25"/>
      <c r="Z69" s="25"/>
      <c r="AA69" s="25"/>
      <c r="AB69" s="24">
        <f t="shared" si="2"/>
        <v>0</v>
      </c>
      <c r="AC69" s="24"/>
      <c r="AD69" s="24"/>
      <c r="AE69" s="28">
        <f>13185000</f>
        <v>13185000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13185000</f>
        <v>13185000</v>
      </c>
      <c r="AU69" s="24"/>
      <c r="AV69" s="24"/>
      <c r="AW69" s="25" t="s">
        <v>71</v>
      </c>
      <c r="AX69" s="25"/>
      <c r="AY69" s="24">
        <f>13185000</f>
        <v>13185000</v>
      </c>
      <c r="AZ69" s="24"/>
      <c r="BA69" s="25" t="s">
        <v>71</v>
      </c>
      <c r="BB69" s="25"/>
      <c r="BC69" s="25"/>
      <c r="BD69" s="24">
        <f>13185000</f>
        <v>13185000</v>
      </c>
      <c r="BE69" s="24"/>
      <c r="BF69" s="28">
        <f t="shared" si="0"/>
        <v>0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4">
        <f>13185000</f>
        <v>13185000</v>
      </c>
      <c r="BO69" s="24"/>
      <c r="BP69" s="24"/>
      <c r="BQ69" s="27" t="s">
        <v>71</v>
      </c>
    </row>
    <row r="70" spans="1:69" s="1" customFormat="1" ht="33.75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1"/>
        <v>0</v>
      </c>
      <c r="V70" s="24"/>
      <c r="W70" s="24"/>
      <c r="X70" s="25" t="s">
        <v>71</v>
      </c>
      <c r="Y70" s="25"/>
      <c r="Z70" s="25"/>
      <c r="AA70" s="25"/>
      <c r="AB70" s="24">
        <f t="shared" si="2"/>
        <v>0</v>
      </c>
      <c r="AC70" s="24"/>
      <c r="AD70" s="24"/>
      <c r="AE70" s="28">
        <f>13185000</f>
        <v>13185000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13185000</f>
        <v>13185000</v>
      </c>
      <c r="AU70" s="24"/>
      <c r="AV70" s="24"/>
      <c r="AW70" s="25" t="s">
        <v>71</v>
      </c>
      <c r="AX70" s="25"/>
      <c r="AY70" s="24">
        <f>13185000</f>
        <v>13185000</v>
      </c>
      <c r="AZ70" s="24"/>
      <c r="BA70" s="25" t="s">
        <v>71</v>
      </c>
      <c r="BB70" s="25"/>
      <c r="BC70" s="25"/>
      <c r="BD70" s="24">
        <f>13185000</f>
        <v>13185000</v>
      </c>
      <c r="BE70" s="24"/>
      <c r="BF70" s="28">
        <f t="shared" si="0"/>
        <v>0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4">
        <f>13185000</f>
        <v>13185000</v>
      </c>
      <c r="BO70" s="24"/>
      <c r="BP70" s="24"/>
      <c r="BQ70" s="27" t="s">
        <v>71</v>
      </c>
    </row>
    <row r="71" spans="1:69" s="1" customFormat="1" ht="33.75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1"/>
        <v>0</v>
      </c>
      <c r="V71" s="24"/>
      <c r="W71" s="24"/>
      <c r="X71" s="25" t="s">
        <v>71</v>
      </c>
      <c r="Y71" s="25"/>
      <c r="Z71" s="25"/>
      <c r="AA71" s="25"/>
      <c r="AB71" s="24">
        <f t="shared" si="2"/>
        <v>0</v>
      </c>
      <c r="AC71" s="24"/>
      <c r="AD71" s="24"/>
      <c r="AE71" s="28">
        <f>123000</f>
        <v>123000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123000</f>
        <v>123000</v>
      </c>
      <c r="AU71" s="24"/>
      <c r="AV71" s="24"/>
      <c r="AW71" s="25" t="s">
        <v>71</v>
      </c>
      <c r="AX71" s="25"/>
      <c r="AY71" s="24">
        <f>123000</f>
        <v>123000</v>
      </c>
      <c r="AZ71" s="24"/>
      <c r="BA71" s="25" t="s">
        <v>71</v>
      </c>
      <c r="BB71" s="25"/>
      <c r="BC71" s="25"/>
      <c r="BD71" s="24">
        <f>123000</f>
        <v>123000</v>
      </c>
      <c r="BE71" s="24"/>
      <c r="BF71" s="28">
        <f t="shared" si="0"/>
        <v>0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123000</f>
        <v>123000</v>
      </c>
      <c r="BO71" s="24"/>
      <c r="BP71" s="24"/>
      <c r="BQ71" s="27" t="s">
        <v>71</v>
      </c>
    </row>
    <row r="72" spans="1:69" s="1" customFormat="1" ht="33.75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1"/>
        <v>0</v>
      </c>
      <c r="V72" s="24"/>
      <c r="W72" s="24"/>
      <c r="X72" s="25" t="s">
        <v>71</v>
      </c>
      <c r="Y72" s="25"/>
      <c r="Z72" s="25"/>
      <c r="AA72" s="25"/>
      <c r="AB72" s="24">
        <f t="shared" si="2"/>
        <v>0</v>
      </c>
      <c r="AC72" s="24"/>
      <c r="AD72" s="24"/>
      <c r="AE72" s="28">
        <f>123000</f>
        <v>123000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123000</f>
        <v>123000</v>
      </c>
      <c r="AU72" s="24"/>
      <c r="AV72" s="24"/>
      <c r="AW72" s="25" t="s">
        <v>71</v>
      </c>
      <c r="AX72" s="25"/>
      <c r="AY72" s="24">
        <f>123000</f>
        <v>123000</v>
      </c>
      <c r="AZ72" s="24"/>
      <c r="BA72" s="25" t="s">
        <v>71</v>
      </c>
      <c r="BB72" s="25"/>
      <c r="BC72" s="25"/>
      <c r="BD72" s="24">
        <f>123000</f>
        <v>123000</v>
      </c>
      <c r="BE72" s="24"/>
      <c r="BF72" s="28">
        <f t="shared" si="0"/>
        <v>0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123000</f>
        <v>123000</v>
      </c>
      <c r="BO72" s="24"/>
      <c r="BP72" s="24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1"/>
        <v>0</v>
      </c>
      <c r="V73" s="24"/>
      <c r="W73" s="24"/>
      <c r="X73" s="25" t="s">
        <v>71</v>
      </c>
      <c r="Y73" s="25"/>
      <c r="Z73" s="25"/>
      <c r="AA73" s="25"/>
      <c r="AB73" s="24">
        <f t="shared" si="2"/>
        <v>0</v>
      </c>
      <c r="AC73" s="24"/>
      <c r="AD73" s="24"/>
      <c r="AE73" s="28">
        <f>9044783.28</f>
        <v>9044783.28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9044783.28</f>
        <v>9044783.28</v>
      </c>
      <c r="AU73" s="24"/>
      <c r="AV73" s="24"/>
      <c r="AW73" s="25" t="s">
        <v>71</v>
      </c>
      <c r="AX73" s="25"/>
      <c r="AY73" s="24">
        <f>9044772.07</f>
        <v>9044772.07</v>
      </c>
      <c r="AZ73" s="24"/>
      <c r="BA73" s="25" t="s">
        <v>71</v>
      </c>
      <c r="BB73" s="25"/>
      <c r="BC73" s="25"/>
      <c r="BD73" s="24">
        <f>9044772.07</f>
        <v>9044772.07</v>
      </c>
      <c r="BE73" s="24"/>
      <c r="BF73" s="28">
        <f t="shared" si="0"/>
        <v>0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9044772.07</f>
        <v>9044772.07</v>
      </c>
      <c r="BO73" s="24"/>
      <c r="BP73" s="24"/>
      <c r="BQ73" s="27" t="s">
        <v>71</v>
      </c>
    </row>
    <row r="74" spans="1:69" s="1" customFormat="1" ht="54.7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1"/>
        <v>0</v>
      </c>
      <c r="V74" s="24"/>
      <c r="W74" s="24"/>
      <c r="X74" s="25" t="s">
        <v>71</v>
      </c>
      <c r="Y74" s="25"/>
      <c r="Z74" s="25"/>
      <c r="AA74" s="25"/>
      <c r="AB74" s="24">
        <f t="shared" si="2"/>
        <v>0</v>
      </c>
      <c r="AC74" s="24"/>
      <c r="AD74" s="24"/>
      <c r="AE74" s="28">
        <f>5187061</f>
        <v>5187061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5187061</f>
        <v>5187061</v>
      </c>
      <c r="AU74" s="24"/>
      <c r="AV74" s="24"/>
      <c r="AW74" s="25" t="s">
        <v>71</v>
      </c>
      <c r="AX74" s="25"/>
      <c r="AY74" s="24">
        <f>5187061</f>
        <v>5187061</v>
      </c>
      <c r="AZ74" s="24"/>
      <c r="BA74" s="25" t="s">
        <v>71</v>
      </c>
      <c r="BB74" s="25"/>
      <c r="BC74" s="25"/>
      <c r="BD74" s="24">
        <f>5187061</f>
        <v>5187061</v>
      </c>
      <c r="BE74" s="24"/>
      <c r="BF74" s="28">
        <f t="shared" si="0"/>
        <v>0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5187061</f>
        <v>5187061</v>
      </c>
      <c r="BO74" s="24"/>
      <c r="BP74" s="24"/>
      <c r="BQ74" s="27" t="s">
        <v>71</v>
      </c>
    </row>
    <row r="75" spans="1:69" s="1" customFormat="1" ht="54.75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1"/>
        <v>0</v>
      </c>
      <c r="V75" s="24"/>
      <c r="W75" s="24"/>
      <c r="X75" s="25" t="s">
        <v>71</v>
      </c>
      <c r="Y75" s="25"/>
      <c r="Z75" s="25"/>
      <c r="AA75" s="25"/>
      <c r="AB75" s="24">
        <f t="shared" si="2"/>
        <v>0</v>
      </c>
      <c r="AC75" s="24"/>
      <c r="AD75" s="24"/>
      <c r="AE75" s="28">
        <f>5187061</f>
        <v>5187061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5187061</f>
        <v>5187061</v>
      </c>
      <c r="AU75" s="24"/>
      <c r="AV75" s="24"/>
      <c r="AW75" s="25" t="s">
        <v>71</v>
      </c>
      <c r="AX75" s="25"/>
      <c r="AY75" s="24">
        <f>5187061</f>
        <v>5187061</v>
      </c>
      <c r="AZ75" s="24"/>
      <c r="BA75" s="25" t="s">
        <v>71</v>
      </c>
      <c r="BB75" s="25"/>
      <c r="BC75" s="25"/>
      <c r="BD75" s="24">
        <f>5187061</f>
        <v>5187061</v>
      </c>
      <c r="BE75" s="24"/>
      <c r="BF75" s="28">
        <f t="shared" si="0"/>
        <v>0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5187061</f>
        <v>5187061</v>
      </c>
      <c r="BO75" s="24"/>
      <c r="BP75" s="24"/>
      <c r="BQ75" s="27" t="s">
        <v>71</v>
      </c>
    </row>
    <row r="76" spans="1:69" s="1" customFormat="1" ht="24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 t="shared" si="1"/>
        <v>0</v>
      </c>
      <c r="V76" s="24"/>
      <c r="W76" s="24"/>
      <c r="X76" s="25" t="s">
        <v>71</v>
      </c>
      <c r="Y76" s="25"/>
      <c r="Z76" s="25"/>
      <c r="AA76" s="25"/>
      <c r="AB76" s="24">
        <f t="shared" si="2"/>
        <v>0</v>
      </c>
      <c r="AC76" s="24"/>
      <c r="AD76" s="24"/>
      <c r="AE76" s="28">
        <f>269569</f>
        <v>269569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269569</f>
        <v>269569</v>
      </c>
      <c r="AU76" s="24"/>
      <c r="AV76" s="24"/>
      <c r="AW76" s="25" t="s">
        <v>71</v>
      </c>
      <c r="AX76" s="25"/>
      <c r="AY76" s="24">
        <f>269559.69</f>
        <v>269559.69</v>
      </c>
      <c r="AZ76" s="24"/>
      <c r="BA76" s="25" t="s">
        <v>71</v>
      </c>
      <c r="BB76" s="25"/>
      <c r="BC76" s="25"/>
      <c r="BD76" s="24">
        <f>269559.69</f>
        <v>269559.69</v>
      </c>
      <c r="BE76" s="24"/>
      <c r="BF76" s="28">
        <f t="shared" si="0"/>
        <v>0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269559.69</f>
        <v>269559.69</v>
      </c>
      <c r="BO76" s="24"/>
      <c r="BP76" s="24"/>
      <c r="BQ76" s="27" t="s">
        <v>71</v>
      </c>
    </row>
    <row r="77" spans="1:69" s="1" customFormat="1" ht="24" customHeight="1">
      <c r="A77" s="16" t="s">
        <v>197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198</v>
      </c>
      <c r="Q77" s="23"/>
      <c r="R77" s="23"/>
      <c r="S77" s="23"/>
      <c r="T77" s="23"/>
      <c r="U77" s="24">
        <f t="shared" si="1"/>
        <v>0</v>
      </c>
      <c r="V77" s="24"/>
      <c r="W77" s="24"/>
      <c r="X77" s="25" t="s">
        <v>71</v>
      </c>
      <c r="Y77" s="25"/>
      <c r="Z77" s="25"/>
      <c r="AA77" s="25"/>
      <c r="AB77" s="24">
        <f t="shared" si="2"/>
        <v>0</v>
      </c>
      <c r="AC77" s="24"/>
      <c r="AD77" s="24"/>
      <c r="AE77" s="28">
        <f>269569</f>
        <v>269569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269569</f>
        <v>269569</v>
      </c>
      <c r="AU77" s="24"/>
      <c r="AV77" s="24"/>
      <c r="AW77" s="25" t="s">
        <v>71</v>
      </c>
      <c r="AX77" s="25"/>
      <c r="AY77" s="24">
        <f>269559.69</f>
        <v>269559.69</v>
      </c>
      <c r="AZ77" s="24"/>
      <c r="BA77" s="25" t="s">
        <v>71</v>
      </c>
      <c r="BB77" s="25"/>
      <c r="BC77" s="25"/>
      <c r="BD77" s="24">
        <f>269559.69</f>
        <v>269559.69</v>
      </c>
      <c r="BE77" s="24"/>
      <c r="BF77" s="28">
        <f t="shared" si="0"/>
        <v>0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269559.69</f>
        <v>269559.69</v>
      </c>
      <c r="BO77" s="24"/>
      <c r="BP77" s="24"/>
      <c r="BQ77" s="27" t="s">
        <v>71</v>
      </c>
    </row>
    <row r="78" spans="1:69" s="1" customFormat="1" ht="24" customHeight="1">
      <c r="A78" s="16" t="s">
        <v>199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69</v>
      </c>
      <c r="N78" s="23"/>
      <c r="O78" s="23"/>
      <c r="P78" s="23" t="s">
        <v>200</v>
      </c>
      <c r="Q78" s="23"/>
      <c r="R78" s="23"/>
      <c r="S78" s="23"/>
      <c r="T78" s="23"/>
      <c r="U78" s="24">
        <f t="shared" si="1"/>
        <v>0</v>
      </c>
      <c r="V78" s="24"/>
      <c r="W78" s="24"/>
      <c r="X78" s="25" t="s">
        <v>71</v>
      </c>
      <c r="Y78" s="25"/>
      <c r="Z78" s="25"/>
      <c r="AA78" s="25"/>
      <c r="AB78" s="24">
        <f t="shared" si="2"/>
        <v>0</v>
      </c>
      <c r="AC78" s="24"/>
      <c r="AD78" s="24"/>
      <c r="AE78" s="28">
        <f>3225721</f>
        <v>3225721</v>
      </c>
      <c r="AF78" s="26" t="s">
        <v>71</v>
      </c>
      <c r="AG78" s="25" t="s">
        <v>71</v>
      </c>
      <c r="AH78" s="25"/>
      <c r="AI78" s="25"/>
      <c r="AJ78" s="25" t="s">
        <v>71</v>
      </c>
      <c r="AK78" s="25"/>
      <c r="AL78" s="25" t="s">
        <v>71</v>
      </c>
      <c r="AM78" s="25"/>
      <c r="AN78" s="25" t="s">
        <v>71</v>
      </c>
      <c r="AO78" s="25"/>
      <c r="AP78" s="25" t="s">
        <v>71</v>
      </c>
      <c r="AQ78" s="25"/>
      <c r="AR78" s="25"/>
      <c r="AS78" s="26" t="s">
        <v>71</v>
      </c>
      <c r="AT78" s="24">
        <f>3225721</f>
        <v>3225721</v>
      </c>
      <c r="AU78" s="24"/>
      <c r="AV78" s="24"/>
      <c r="AW78" s="25" t="s">
        <v>71</v>
      </c>
      <c r="AX78" s="25"/>
      <c r="AY78" s="24">
        <f>3225719.1</f>
        <v>3225719.1</v>
      </c>
      <c r="AZ78" s="24"/>
      <c r="BA78" s="25" t="s">
        <v>71</v>
      </c>
      <c r="BB78" s="25"/>
      <c r="BC78" s="25"/>
      <c r="BD78" s="24">
        <f>3225719.1</f>
        <v>3225719.1</v>
      </c>
      <c r="BE78" s="24"/>
      <c r="BF78" s="28">
        <f t="shared" si="0"/>
        <v>0</v>
      </c>
      <c r="BG78" s="26" t="s">
        <v>71</v>
      </c>
      <c r="BH78" s="26" t="s">
        <v>71</v>
      </c>
      <c r="BI78" s="26" t="s">
        <v>71</v>
      </c>
      <c r="BJ78" s="26" t="s">
        <v>71</v>
      </c>
      <c r="BK78" s="26" t="s">
        <v>71</v>
      </c>
      <c r="BL78" s="26" t="s">
        <v>71</v>
      </c>
      <c r="BM78" s="26" t="s">
        <v>71</v>
      </c>
      <c r="BN78" s="24">
        <f>3225719.1</f>
        <v>3225719.1</v>
      </c>
      <c r="BO78" s="24"/>
      <c r="BP78" s="24"/>
      <c r="BQ78" s="27" t="s">
        <v>71</v>
      </c>
    </row>
    <row r="79" spans="1:69" s="1" customFormat="1" ht="24" customHeight="1">
      <c r="A79" s="16" t="s">
        <v>201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69</v>
      </c>
      <c r="N79" s="23"/>
      <c r="O79" s="23"/>
      <c r="P79" s="23" t="s">
        <v>202</v>
      </c>
      <c r="Q79" s="23"/>
      <c r="R79" s="23"/>
      <c r="S79" s="23"/>
      <c r="T79" s="23"/>
      <c r="U79" s="24">
        <f t="shared" si="1"/>
        <v>0</v>
      </c>
      <c r="V79" s="24"/>
      <c r="W79" s="24"/>
      <c r="X79" s="25" t="s">
        <v>71</v>
      </c>
      <c r="Y79" s="25"/>
      <c r="Z79" s="25"/>
      <c r="AA79" s="25"/>
      <c r="AB79" s="24">
        <f t="shared" si="2"/>
        <v>0</v>
      </c>
      <c r="AC79" s="24"/>
      <c r="AD79" s="24"/>
      <c r="AE79" s="28">
        <f>3225721</f>
        <v>3225721</v>
      </c>
      <c r="AF79" s="26" t="s">
        <v>71</v>
      </c>
      <c r="AG79" s="25" t="s">
        <v>71</v>
      </c>
      <c r="AH79" s="25"/>
      <c r="AI79" s="25"/>
      <c r="AJ79" s="25" t="s">
        <v>71</v>
      </c>
      <c r="AK79" s="25"/>
      <c r="AL79" s="25" t="s">
        <v>71</v>
      </c>
      <c r="AM79" s="25"/>
      <c r="AN79" s="25" t="s">
        <v>71</v>
      </c>
      <c r="AO79" s="25"/>
      <c r="AP79" s="25" t="s">
        <v>71</v>
      </c>
      <c r="AQ79" s="25"/>
      <c r="AR79" s="25"/>
      <c r="AS79" s="26" t="s">
        <v>71</v>
      </c>
      <c r="AT79" s="24">
        <f>3225721</f>
        <v>3225721</v>
      </c>
      <c r="AU79" s="24"/>
      <c r="AV79" s="24"/>
      <c r="AW79" s="25" t="s">
        <v>71</v>
      </c>
      <c r="AX79" s="25"/>
      <c r="AY79" s="24">
        <f>3225719.1</f>
        <v>3225719.1</v>
      </c>
      <c r="AZ79" s="24"/>
      <c r="BA79" s="25" t="s">
        <v>71</v>
      </c>
      <c r="BB79" s="25"/>
      <c r="BC79" s="25"/>
      <c r="BD79" s="24">
        <f>3225719.1</f>
        <v>3225719.1</v>
      </c>
      <c r="BE79" s="24"/>
      <c r="BF79" s="28">
        <f t="shared" si="0"/>
        <v>0</v>
      </c>
      <c r="BG79" s="26" t="s">
        <v>71</v>
      </c>
      <c r="BH79" s="26" t="s">
        <v>71</v>
      </c>
      <c r="BI79" s="26" t="s">
        <v>71</v>
      </c>
      <c r="BJ79" s="26" t="s">
        <v>71</v>
      </c>
      <c r="BK79" s="26" t="s">
        <v>71</v>
      </c>
      <c r="BL79" s="26" t="s">
        <v>71</v>
      </c>
      <c r="BM79" s="26" t="s">
        <v>71</v>
      </c>
      <c r="BN79" s="24">
        <f>3225719.1</f>
        <v>3225719.1</v>
      </c>
      <c r="BO79" s="24"/>
      <c r="BP79" s="24"/>
      <c r="BQ79" s="27" t="s">
        <v>71</v>
      </c>
    </row>
    <row r="80" spans="1:69" s="1" customFormat="1" ht="24" customHeight="1">
      <c r="A80" s="16" t="s">
        <v>203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69</v>
      </c>
      <c r="N80" s="23"/>
      <c r="O80" s="23"/>
      <c r="P80" s="23" t="s">
        <v>204</v>
      </c>
      <c r="Q80" s="23"/>
      <c r="R80" s="23"/>
      <c r="S80" s="23"/>
      <c r="T80" s="23"/>
      <c r="U80" s="24">
        <f t="shared" si="1"/>
        <v>0</v>
      </c>
      <c r="V80" s="24"/>
      <c r="W80" s="24"/>
      <c r="X80" s="25" t="s">
        <v>71</v>
      </c>
      <c r="Y80" s="25"/>
      <c r="Z80" s="25"/>
      <c r="AA80" s="25"/>
      <c r="AB80" s="24">
        <f t="shared" si="2"/>
        <v>0</v>
      </c>
      <c r="AC80" s="24"/>
      <c r="AD80" s="24"/>
      <c r="AE80" s="28">
        <f>362432.28</f>
        <v>362432.28</v>
      </c>
      <c r="AF80" s="26" t="s">
        <v>71</v>
      </c>
      <c r="AG80" s="25" t="s">
        <v>71</v>
      </c>
      <c r="AH80" s="25"/>
      <c r="AI80" s="25"/>
      <c r="AJ80" s="25" t="s">
        <v>71</v>
      </c>
      <c r="AK80" s="25"/>
      <c r="AL80" s="25" t="s">
        <v>71</v>
      </c>
      <c r="AM80" s="25"/>
      <c r="AN80" s="25" t="s">
        <v>71</v>
      </c>
      <c r="AO80" s="25"/>
      <c r="AP80" s="25" t="s">
        <v>71</v>
      </c>
      <c r="AQ80" s="25"/>
      <c r="AR80" s="25"/>
      <c r="AS80" s="26" t="s">
        <v>71</v>
      </c>
      <c r="AT80" s="24">
        <f>362432.28</f>
        <v>362432.28</v>
      </c>
      <c r="AU80" s="24"/>
      <c r="AV80" s="24"/>
      <c r="AW80" s="25" t="s">
        <v>71</v>
      </c>
      <c r="AX80" s="25"/>
      <c r="AY80" s="24">
        <f>362432.28</f>
        <v>362432.28</v>
      </c>
      <c r="AZ80" s="24"/>
      <c r="BA80" s="25" t="s">
        <v>71</v>
      </c>
      <c r="BB80" s="25"/>
      <c r="BC80" s="25"/>
      <c r="BD80" s="24">
        <f>362432.28</f>
        <v>362432.28</v>
      </c>
      <c r="BE80" s="24"/>
      <c r="BF80" s="28">
        <f t="shared" si="0"/>
        <v>0</v>
      </c>
      <c r="BG80" s="26" t="s">
        <v>71</v>
      </c>
      <c r="BH80" s="26" t="s">
        <v>71</v>
      </c>
      <c r="BI80" s="26" t="s">
        <v>71</v>
      </c>
      <c r="BJ80" s="26" t="s">
        <v>71</v>
      </c>
      <c r="BK80" s="26" t="s">
        <v>71</v>
      </c>
      <c r="BL80" s="26" t="s">
        <v>71</v>
      </c>
      <c r="BM80" s="26" t="s">
        <v>71</v>
      </c>
      <c r="BN80" s="24">
        <f>362432.28</f>
        <v>362432.28</v>
      </c>
      <c r="BO80" s="24"/>
      <c r="BP80" s="24"/>
      <c r="BQ80" s="27" t="s">
        <v>71</v>
      </c>
    </row>
    <row r="81" spans="1:69" s="1" customFormat="1" ht="24" customHeight="1">
      <c r="A81" s="16" t="s">
        <v>205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69</v>
      </c>
      <c r="N81" s="23"/>
      <c r="O81" s="23"/>
      <c r="P81" s="23" t="s">
        <v>206</v>
      </c>
      <c r="Q81" s="23"/>
      <c r="R81" s="23"/>
      <c r="S81" s="23"/>
      <c r="T81" s="23"/>
      <c r="U81" s="24">
        <f t="shared" si="1"/>
        <v>0</v>
      </c>
      <c r="V81" s="24"/>
      <c r="W81" s="24"/>
      <c r="X81" s="25" t="s">
        <v>71</v>
      </c>
      <c r="Y81" s="25"/>
      <c r="Z81" s="25"/>
      <c r="AA81" s="25"/>
      <c r="AB81" s="24">
        <f t="shared" si="2"/>
        <v>0</v>
      </c>
      <c r="AC81" s="24"/>
      <c r="AD81" s="24"/>
      <c r="AE81" s="28">
        <f>362432.28</f>
        <v>362432.28</v>
      </c>
      <c r="AF81" s="26" t="s">
        <v>71</v>
      </c>
      <c r="AG81" s="25" t="s">
        <v>71</v>
      </c>
      <c r="AH81" s="25"/>
      <c r="AI81" s="25"/>
      <c r="AJ81" s="25" t="s">
        <v>71</v>
      </c>
      <c r="AK81" s="25"/>
      <c r="AL81" s="25" t="s">
        <v>71</v>
      </c>
      <c r="AM81" s="25"/>
      <c r="AN81" s="25" t="s">
        <v>71</v>
      </c>
      <c r="AO81" s="25"/>
      <c r="AP81" s="25" t="s">
        <v>71</v>
      </c>
      <c r="AQ81" s="25"/>
      <c r="AR81" s="25"/>
      <c r="AS81" s="26" t="s">
        <v>71</v>
      </c>
      <c r="AT81" s="24">
        <f>362432.28</f>
        <v>362432.28</v>
      </c>
      <c r="AU81" s="24"/>
      <c r="AV81" s="24"/>
      <c r="AW81" s="25" t="s">
        <v>71</v>
      </c>
      <c r="AX81" s="25"/>
      <c r="AY81" s="24">
        <f>362432.28</f>
        <v>362432.28</v>
      </c>
      <c r="AZ81" s="24"/>
      <c r="BA81" s="25" t="s">
        <v>71</v>
      </c>
      <c r="BB81" s="25"/>
      <c r="BC81" s="25"/>
      <c r="BD81" s="24">
        <f>362432.28</f>
        <v>362432.28</v>
      </c>
      <c r="BE81" s="24"/>
      <c r="BF81" s="28">
        <f t="shared" si="0"/>
        <v>0</v>
      </c>
      <c r="BG81" s="26" t="s">
        <v>71</v>
      </c>
      <c r="BH81" s="26" t="s">
        <v>71</v>
      </c>
      <c r="BI81" s="26" t="s">
        <v>71</v>
      </c>
      <c r="BJ81" s="26" t="s">
        <v>71</v>
      </c>
      <c r="BK81" s="26" t="s">
        <v>71</v>
      </c>
      <c r="BL81" s="26" t="s">
        <v>71</v>
      </c>
      <c r="BM81" s="26" t="s">
        <v>71</v>
      </c>
      <c r="BN81" s="24">
        <f>362432.28</f>
        <v>362432.28</v>
      </c>
      <c r="BO81" s="24"/>
      <c r="BP81" s="24"/>
      <c r="BQ81" s="27" t="s">
        <v>71</v>
      </c>
    </row>
    <row r="82" spans="1:69" s="1" customFormat="1" ht="24" customHeight="1">
      <c r="A82" s="16" t="s">
        <v>207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69</v>
      </c>
      <c r="N82" s="23"/>
      <c r="O82" s="23"/>
      <c r="P82" s="23" t="s">
        <v>208</v>
      </c>
      <c r="Q82" s="23"/>
      <c r="R82" s="23"/>
      <c r="S82" s="23"/>
      <c r="T82" s="23"/>
      <c r="U82" s="24">
        <f t="shared" si="1"/>
        <v>0</v>
      </c>
      <c r="V82" s="24"/>
      <c r="W82" s="24"/>
      <c r="X82" s="25" t="s">
        <v>71</v>
      </c>
      <c r="Y82" s="25"/>
      <c r="Z82" s="25"/>
      <c r="AA82" s="25"/>
      <c r="AB82" s="24">
        <f t="shared" si="2"/>
        <v>0</v>
      </c>
      <c r="AC82" s="24"/>
      <c r="AD82" s="24"/>
      <c r="AE82" s="28">
        <f>238636</f>
        <v>238636</v>
      </c>
      <c r="AF82" s="26" t="s">
        <v>71</v>
      </c>
      <c r="AG82" s="25" t="s">
        <v>71</v>
      </c>
      <c r="AH82" s="25"/>
      <c r="AI82" s="25"/>
      <c r="AJ82" s="25" t="s">
        <v>71</v>
      </c>
      <c r="AK82" s="25"/>
      <c r="AL82" s="25" t="s">
        <v>71</v>
      </c>
      <c r="AM82" s="25"/>
      <c r="AN82" s="25" t="s">
        <v>71</v>
      </c>
      <c r="AO82" s="25"/>
      <c r="AP82" s="25" t="s">
        <v>71</v>
      </c>
      <c r="AQ82" s="25"/>
      <c r="AR82" s="25"/>
      <c r="AS82" s="26" t="s">
        <v>71</v>
      </c>
      <c r="AT82" s="24">
        <f>238636</f>
        <v>238636</v>
      </c>
      <c r="AU82" s="24"/>
      <c r="AV82" s="24"/>
      <c r="AW82" s="25" t="s">
        <v>71</v>
      </c>
      <c r="AX82" s="25"/>
      <c r="AY82" s="24">
        <f>238636</f>
        <v>238636</v>
      </c>
      <c r="AZ82" s="24"/>
      <c r="BA82" s="25" t="s">
        <v>71</v>
      </c>
      <c r="BB82" s="25"/>
      <c r="BC82" s="25"/>
      <c r="BD82" s="24">
        <f>238636</f>
        <v>238636</v>
      </c>
      <c r="BE82" s="24"/>
      <c r="BF82" s="28">
        <f t="shared" si="0"/>
        <v>0</v>
      </c>
      <c r="BG82" s="26" t="s">
        <v>71</v>
      </c>
      <c r="BH82" s="26" t="s">
        <v>71</v>
      </c>
      <c r="BI82" s="26" t="s">
        <v>71</v>
      </c>
      <c r="BJ82" s="26" t="s">
        <v>71</v>
      </c>
      <c r="BK82" s="26" t="s">
        <v>71</v>
      </c>
      <c r="BL82" s="26" t="s">
        <v>71</v>
      </c>
      <c r="BM82" s="26" t="s">
        <v>71</v>
      </c>
      <c r="BN82" s="24">
        <f>238636</f>
        <v>238636</v>
      </c>
      <c r="BO82" s="24"/>
      <c r="BP82" s="24"/>
      <c r="BQ82" s="27" t="s">
        <v>71</v>
      </c>
    </row>
    <row r="83" spans="1:69" s="1" customFormat="1" ht="33.75" customHeight="1">
      <c r="A83" s="16" t="s">
        <v>209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69</v>
      </c>
      <c r="N83" s="23"/>
      <c r="O83" s="23"/>
      <c r="P83" s="23" t="s">
        <v>210</v>
      </c>
      <c r="Q83" s="23"/>
      <c r="R83" s="23"/>
      <c r="S83" s="23"/>
      <c r="T83" s="23"/>
      <c r="U83" s="24">
        <f t="shared" si="1"/>
        <v>0</v>
      </c>
      <c r="V83" s="24"/>
      <c r="W83" s="24"/>
      <c r="X83" s="25" t="s">
        <v>71</v>
      </c>
      <c r="Y83" s="25"/>
      <c r="Z83" s="25"/>
      <c r="AA83" s="25"/>
      <c r="AB83" s="24">
        <f t="shared" si="2"/>
        <v>0</v>
      </c>
      <c r="AC83" s="24"/>
      <c r="AD83" s="24"/>
      <c r="AE83" s="28">
        <f>238636</f>
        <v>238636</v>
      </c>
      <c r="AF83" s="26" t="s">
        <v>71</v>
      </c>
      <c r="AG83" s="25" t="s">
        <v>71</v>
      </c>
      <c r="AH83" s="25"/>
      <c r="AI83" s="25"/>
      <c r="AJ83" s="25" t="s">
        <v>71</v>
      </c>
      <c r="AK83" s="25"/>
      <c r="AL83" s="25" t="s">
        <v>71</v>
      </c>
      <c r="AM83" s="25"/>
      <c r="AN83" s="25" t="s">
        <v>71</v>
      </c>
      <c r="AO83" s="25"/>
      <c r="AP83" s="25" t="s">
        <v>71</v>
      </c>
      <c r="AQ83" s="25"/>
      <c r="AR83" s="25"/>
      <c r="AS83" s="26" t="s">
        <v>71</v>
      </c>
      <c r="AT83" s="24">
        <f>238636</f>
        <v>238636</v>
      </c>
      <c r="AU83" s="24"/>
      <c r="AV83" s="24"/>
      <c r="AW83" s="25" t="s">
        <v>71</v>
      </c>
      <c r="AX83" s="25"/>
      <c r="AY83" s="24">
        <f>238636</f>
        <v>238636</v>
      </c>
      <c r="AZ83" s="24"/>
      <c r="BA83" s="25" t="s">
        <v>71</v>
      </c>
      <c r="BB83" s="25"/>
      <c r="BC83" s="25"/>
      <c r="BD83" s="24">
        <f>238636</f>
        <v>238636</v>
      </c>
      <c r="BE83" s="24"/>
      <c r="BF83" s="28">
        <f t="shared" si="0"/>
        <v>0</v>
      </c>
      <c r="BG83" s="26" t="s">
        <v>71</v>
      </c>
      <c r="BH83" s="26" t="s">
        <v>71</v>
      </c>
      <c r="BI83" s="26" t="s">
        <v>71</v>
      </c>
      <c r="BJ83" s="26" t="s">
        <v>71</v>
      </c>
      <c r="BK83" s="26" t="s">
        <v>71</v>
      </c>
      <c r="BL83" s="26" t="s">
        <v>71</v>
      </c>
      <c r="BM83" s="26" t="s">
        <v>71</v>
      </c>
      <c r="BN83" s="24">
        <f>238636</f>
        <v>238636</v>
      </c>
      <c r="BO83" s="24"/>
      <c r="BP83" s="24"/>
      <c r="BQ83" s="27" t="s">
        <v>71</v>
      </c>
    </row>
    <row r="84" spans="1:69" s="1" customFormat="1" ht="33.75" customHeight="1">
      <c r="A84" s="16" t="s">
        <v>211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69</v>
      </c>
      <c r="N84" s="23"/>
      <c r="O84" s="23"/>
      <c r="P84" s="23" t="s">
        <v>212</v>
      </c>
      <c r="Q84" s="23"/>
      <c r="R84" s="23"/>
      <c r="S84" s="23"/>
      <c r="T84" s="23"/>
      <c r="U84" s="24">
        <f t="shared" si="1"/>
        <v>0</v>
      </c>
      <c r="V84" s="24"/>
      <c r="W84" s="24"/>
      <c r="X84" s="25" t="s">
        <v>71</v>
      </c>
      <c r="Y84" s="25"/>
      <c r="Z84" s="25"/>
      <c r="AA84" s="25"/>
      <c r="AB84" s="24">
        <f t="shared" si="2"/>
        <v>0</v>
      </c>
      <c r="AC84" s="24"/>
      <c r="AD84" s="24"/>
      <c r="AE84" s="28">
        <f>238636</f>
        <v>238636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238636</f>
        <v>238636</v>
      </c>
      <c r="AU84" s="24"/>
      <c r="AV84" s="24"/>
      <c r="AW84" s="25" t="s">
        <v>71</v>
      </c>
      <c r="AX84" s="25"/>
      <c r="AY84" s="24">
        <f>238636</f>
        <v>238636</v>
      </c>
      <c r="AZ84" s="24"/>
      <c r="BA84" s="25" t="s">
        <v>71</v>
      </c>
      <c r="BB84" s="25"/>
      <c r="BC84" s="25"/>
      <c r="BD84" s="24">
        <f>238636</f>
        <v>238636</v>
      </c>
      <c r="BE84" s="24"/>
      <c r="BF84" s="28">
        <f t="shared" si="0"/>
        <v>0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238636</f>
        <v>238636</v>
      </c>
      <c r="BO84" s="24"/>
      <c r="BP84" s="24"/>
      <c r="BQ84" s="27" t="s">
        <v>71</v>
      </c>
    </row>
    <row r="85" spans="1:69" s="1" customFormat="1" ht="13.5" customHeight="1">
      <c r="A85" s="16" t="s">
        <v>213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69</v>
      </c>
      <c r="N85" s="23"/>
      <c r="O85" s="23"/>
      <c r="P85" s="23" t="s">
        <v>214</v>
      </c>
      <c r="Q85" s="23"/>
      <c r="R85" s="23"/>
      <c r="S85" s="23"/>
      <c r="T85" s="23"/>
      <c r="U85" s="24">
        <f>55000</f>
        <v>55000</v>
      </c>
      <c r="V85" s="24"/>
      <c r="W85" s="24"/>
      <c r="X85" s="25" t="s">
        <v>71</v>
      </c>
      <c r="Y85" s="25"/>
      <c r="Z85" s="25"/>
      <c r="AA85" s="25"/>
      <c r="AB85" s="24">
        <f>55000</f>
        <v>55000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55000</f>
        <v>55000</v>
      </c>
      <c r="AU85" s="24"/>
      <c r="AV85" s="24"/>
      <c r="AW85" s="25" t="s">
        <v>71</v>
      </c>
      <c r="AX85" s="25"/>
      <c r="AY85" s="24">
        <f>55000</f>
        <v>55000</v>
      </c>
      <c r="AZ85" s="24"/>
      <c r="BA85" s="25" t="s">
        <v>71</v>
      </c>
      <c r="BB85" s="25"/>
      <c r="BC85" s="25"/>
      <c r="BD85" s="24">
        <f>55000</f>
        <v>55000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55000</f>
        <v>55000</v>
      </c>
      <c r="BO85" s="24"/>
      <c r="BP85" s="24"/>
      <c r="BQ85" s="27" t="s">
        <v>71</v>
      </c>
    </row>
    <row r="86" spans="1:69" s="1" customFormat="1" ht="24" customHeight="1">
      <c r="A86" s="16" t="s">
        <v>215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69</v>
      </c>
      <c r="N86" s="23"/>
      <c r="O86" s="23"/>
      <c r="P86" s="23" t="s">
        <v>216</v>
      </c>
      <c r="Q86" s="23"/>
      <c r="R86" s="23"/>
      <c r="S86" s="23"/>
      <c r="T86" s="23"/>
      <c r="U86" s="24">
        <f>55000</f>
        <v>55000</v>
      </c>
      <c r="V86" s="24"/>
      <c r="W86" s="24"/>
      <c r="X86" s="25" t="s">
        <v>71</v>
      </c>
      <c r="Y86" s="25"/>
      <c r="Z86" s="25"/>
      <c r="AA86" s="25"/>
      <c r="AB86" s="24">
        <f>55000</f>
        <v>55000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55000</f>
        <v>55000</v>
      </c>
      <c r="AU86" s="24"/>
      <c r="AV86" s="24"/>
      <c r="AW86" s="25" t="s">
        <v>71</v>
      </c>
      <c r="AX86" s="25"/>
      <c r="AY86" s="24">
        <f>55000</f>
        <v>55000</v>
      </c>
      <c r="AZ86" s="24"/>
      <c r="BA86" s="25" t="s">
        <v>71</v>
      </c>
      <c r="BB86" s="25"/>
      <c r="BC86" s="25"/>
      <c r="BD86" s="24">
        <f>55000</f>
        <v>55000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55000</f>
        <v>55000</v>
      </c>
      <c r="BO86" s="24"/>
      <c r="BP86" s="24"/>
      <c r="BQ86" s="27" t="s">
        <v>71</v>
      </c>
    </row>
    <row r="87" spans="1:69" s="1" customFormat="1" ht="24" customHeight="1">
      <c r="A87" s="16" t="s">
        <v>215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69</v>
      </c>
      <c r="N87" s="23"/>
      <c r="O87" s="23"/>
      <c r="P87" s="23" t="s">
        <v>217</v>
      </c>
      <c r="Q87" s="23"/>
      <c r="R87" s="23"/>
      <c r="S87" s="23"/>
      <c r="T87" s="23"/>
      <c r="U87" s="24">
        <f>55000</f>
        <v>55000</v>
      </c>
      <c r="V87" s="24"/>
      <c r="W87" s="24"/>
      <c r="X87" s="25" t="s">
        <v>71</v>
      </c>
      <c r="Y87" s="25"/>
      <c r="Z87" s="25"/>
      <c r="AA87" s="25"/>
      <c r="AB87" s="24">
        <f>55000</f>
        <v>55000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55000</f>
        <v>55000</v>
      </c>
      <c r="AU87" s="24"/>
      <c r="AV87" s="24"/>
      <c r="AW87" s="25" t="s">
        <v>71</v>
      </c>
      <c r="AX87" s="25"/>
      <c r="AY87" s="24">
        <f>55000</f>
        <v>55000</v>
      </c>
      <c r="AZ87" s="24"/>
      <c r="BA87" s="25" t="s">
        <v>71</v>
      </c>
      <c r="BB87" s="25"/>
      <c r="BC87" s="25"/>
      <c r="BD87" s="24">
        <f>55000</f>
        <v>55000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55000</f>
        <v>55000</v>
      </c>
      <c r="BO87" s="24"/>
      <c r="BP87" s="24"/>
      <c r="BQ87" s="27" t="s">
        <v>71</v>
      </c>
    </row>
    <row r="88" spans="1:69" s="1" customFormat="1" ht="13.5" customHeight="1">
      <c r="A88" s="29" t="s">
        <v>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 t="s">
        <v>9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</row>
    <row r="89" spans="1:69" s="1" customFormat="1" ht="15.75" customHeight="1">
      <c r="A89" s="12" t="s">
        <v>218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</row>
    <row r="90" spans="1:69" s="1" customFormat="1" ht="28.5" customHeight="1">
      <c r="A90" s="3" t="s">
        <v>21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 t="s">
        <v>22</v>
      </c>
      <c r="N90" s="3"/>
      <c r="O90" s="3"/>
      <c r="P90" s="3" t="s">
        <v>23</v>
      </c>
      <c r="Q90" s="3"/>
      <c r="R90" s="3"/>
      <c r="S90" s="3"/>
      <c r="T90" s="3"/>
      <c r="U90" s="3" t="s">
        <v>24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 t="s">
        <v>38</v>
      </c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s="1" customFormat="1" ht="12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3" t="s">
        <v>25</v>
      </c>
      <c r="V91" s="13"/>
      <c r="W91" s="13"/>
      <c r="X91" s="13" t="s">
        <v>26</v>
      </c>
      <c r="Y91" s="13"/>
      <c r="Z91" s="13"/>
      <c r="AA91" s="13"/>
      <c r="AB91" s="13" t="s">
        <v>27</v>
      </c>
      <c r="AC91" s="13"/>
      <c r="AD91" s="13"/>
      <c r="AE91" s="14" t="s">
        <v>28</v>
      </c>
      <c r="AF91" s="14" t="s">
        <v>29</v>
      </c>
      <c r="AG91" s="13" t="s">
        <v>30</v>
      </c>
      <c r="AH91" s="13"/>
      <c r="AI91" s="13"/>
      <c r="AJ91" s="13" t="s">
        <v>31</v>
      </c>
      <c r="AK91" s="13"/>
      <c r="AL91" s="13" t="s">
        <v>32</v>
      </c>
      <c r="AM91" s="13"/>
      <c r="AN91" s="13" t="s">
        <v>33</v>
      </c>
      <c r="AO91" s="13"/>
      <c r="AP91" s="13" t="s">
        <v>34</v>
      </c>
      <c r="AQ91" s="13"/>
      <c r="AR91" s="13"/>
      <c r="AS91" s="14" t="s">
        <v>35</v>
      </c>
      <c r="AT91" s="13" t="s">
        <v>36</v>
      </c>
      <c r="AU91" s="13"/>
      <c r="AV91" s="13"/>
      <c r="AW91" s="13" t="s">
        <v>37</v>
      </c>
      <c r="AX91" s="13"/>
      <c r="AY91" s="13" t="s">
        <v>25</v>
      </c>
      <c r="AZ91" s="13"/>
      <c r="BA91" s="13" t="s">
        <v>26</v>
      </c>
      <c r="BB91" s="13"/>
      <c r="BC91" s="13"/>
      <c r="BD91" s="13" t="s">
        <v>27</v>
      </c>
      <c r="BE91" s="13"/>
      <c r="BF91" s="14" t="s">
        <v>28</v>
      </c>
      <c r="BG91" s="14" t="s">
        <v>29</v>
      </c>
      <c r="BH91" s="14" t="s">
        <v>30</v>
      </c>
      <c r="BI91" s="14" t="s">
        <v>31</v>
      </c>
      <c r="BJ91" s="14" t="s">
        <v>32</v>
      </c>
      <c r="BK91" s="14" t="s">
        <v>33</v>
      </c>
      <c r="BL91" s="14" t="s">
        <v>34</v>
      </c>
      <c r="BM91" s="14" t="s">
        <v>35</v>
      </c>
      <c r="BN91" s="13" t="s">
        <v>36</v>
      </c>
      <c r="BO91" s="13"/>
      <c r="BP91" s="13"/>
      <c r="BQ91" s="14" t="s">
        <v>37</v>
      </c>
    </row>
    <row r="92" spans="1:69" s="1" customFormat="1" ht="13.5" customHeight="1">
      <c r="A92" s="3" t="s">
        <v>39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 t="s">
        <v>40</v>
      </c>
      <c r="N92" s="3"/>
      <c r="O92" s="3"/>
      <c r="P92" s="3" t="s">
        <v>41</v>
      </c>
      <c r="Q92" s="3"/>
      <c r="R92" s="3"/>
      <c r="S92" s="3"/>
      <c r="T92" s="3"/>
      <c r="U92" s="3" t="s">
        <v>42</v>
      </c>
      <c r="V92" s="3"/>
      <c r="W92" s="3"/>
      <c r="X92" s="3" t="s">
        <v>43</v>
      </c>
      <c r="Y92" s="3"/>
      <c r="Z92" s="3"/>
      <c r="AA92" s="3"/>
      <c r="AB92" s="3" t="s">
        <v>44</v>
      </c>
      <c r="AC92" s="3"/>
      <c r="AD92" s="3"/>
      <c r="AE92" s="15" t="s">
        <v>45</v>
      </c>
      <c r="AF92" s="15" t="s">
        <v>46</v>
      </c>
      <c r="AG92" s="3" t="s">
        <v>47</v>
      </c>
      <c r="AH92" s="3"/>
      <c r="AI92" s="3"/>
      <c r="AJ92" s="3" t="s">
        <v>48</v>
      </c>
      <c r="AK92" s="3"/>
      <c r="AL92" s="3" t="s">
        <v>49</v>
      </c>
      <c r="AM92" s="3"/>
      <c r="AN92" s="3" t="s">
        <v>50</v>
      </c>
      <c r="AO92" s="3"/>
      <c r="AP92" s="3" t="s">
        <v>51</v>
      </c>
      <c r="AQ92" s="3"/>
      <c r="AR92" s="3"/>
      <c r="AS92" s="15" t="s">
        <v>52</v>
      </c>
      <c r="AT92" s="3" t="s">
        <v>53</v>
      </c>
      <c r="AU92" s="3"/>
      <c r="AV92" s="3"/>
      <c r="AW92" s="3" t="s">
        <v>54</v>
      </c>
      <c r="AX92" s="3"/>
      <c r="AY92" s="3" t="s">
        <v>55</v>
      </c>
      <c r="AZ92" s="3"/>
      <c r="BA92" s="3" t="s">
        <v>56</v>
      </c>
      <c r="BB92" s="3"/>
      <c r="BC92" s="3"/>
      <c r="BD92" s="3" t="s">
        <v>57</v>
      </c>
      <c r="BE92" s="3"/>
      <c r="BF92" s="15" t="s">
        <v>58</v>
      </c>
      <c r="BG92" s="15" t="s">
        <v>59</v>
      </c>
      <c r="BH92" s="15" t="s">
        <v>60</v>
      </c>
      <c r="BI92" s="15" t="s">
        <v>61</v>
      </c>
      <c r="BJ92" s="15" t="s">
        <v>62</v>
      </c>
      <c r="BK92" s="15" t="s">
        <v>63</v>
      </c>
      <c r="BL92" s="15" t="s">
        <v>64</v>
      </c>
      <c r="BM92" s="15" t="s">
        <v>65</v>
      </c>
      <c r="BN92" s="3" t="s">
        <v>66</v>
      </c>
      <c r="BO92" s="3"/>
      <c r="BP92" s="3"/>
      <c r="BQ92" s="15" t="s">
        <v>67</v>
      </c>
    </row>
    <row r="93" spans="1:69" s="1" customFormat="1" ht="24" customHeight="1">
      <c r="A93" s="16" t="s">
        <v>219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 t="s">
        <v>220</v>
      </c>
      <c r="N93" s="17"/>
      <c r="O93" s="17"/>
      <c r="P93" s="17" t="s">
        <v>70</v>
      </c>
      <c r="Q93" s="17"/>
      <c r="R93" s="17"/>
      <c r="S93" s="17"/>
      <c r="T93" s="17"/>
      <c r="U93" s="18">
        <f>39846525.55</f>
        <v>39846525.55</v>
      </c>
      <c r="V93" s="18"/>
      <c r="W93" s="18"/>
      <c r="X93" s="19" t="s">
        <v>71</v>
      </c>
      <c r="Y93" s="19"/>
      <c r="Z93" s="19"/>
      <c r="AA93" s="19"/>
      <c r="AB93" s="18">
        <f>39846525.55</f>
        <v>39846525.55</v>
      </c>
      <c r="AC93" s="18"/>
      <c r="AD93" s="18"/>
      <c r="AE93" s="20">
        <f>637490.71</f>
        <v>637490.71</v>
      </c>
      <c r="AF93" s="21" t="s">
        <v>71</v>
      </c>
      <c r="AG93" s="19" t="s">
        <v>71</v>
      </c>
      <c r="AH93" s="19"/>
      <c r="AI93" s="19"/>
      <c r="AJ93" s="19" t="s">
        <v>71</v>
      </c>
      <c r="AK93" s="19"/>
      <c r="AL93" s="19" t="s">
        <v>71</v>
      </c>
      <c r="AM93" s="19"/>
      <c r="AN93" s="19" t="s">
        <v>71</v>
      </c>
      <c r="AO93" s="19"/>
      <c r="AP93" s="19" t="s">
        <v>71</v>
      </c>
      <c r="AQ93" s="19"/>
      <c r="AR93" s="19"/>
      <c r="AS93" s="21" t="s">
        <v>71</v>
      </c>
      <c r="AT93" s="18">
        <f>40484016.26</f>
        <v>40484016.26</v>
      </c>
      <c r="AU93" s="18"/>
      <c r="AV93" s="18"/>
      <c r="AW93" s="19" t="s">
        <v>71</v>
      </c>
      <c r="AX93" s="19"/>
      <c r="AY93" s="18">
        <f>37289008.09</f>
        <v>37289008.09</v>
      </c>
      <c r="AZ93" s="18"/>
      <c r="BA93" s="19" t="s">
        <v>71</v>
      </c>
      <c r="BB93" s="19"/>
      <c r="BC93" s="19"/>
      <c r="BD93" s="18">
        <f>37289008.09</f>
        <v>37289008.09</v>
      </c>
      <c r="BE93" s="18"/>
      <c r="BF93" s="20">
        <f>0</f>
        <v>0</v>
      </c>
      <c r="BG93" s="21" t="s">
        <v>71</v>
      </c>
      <c r="BH93" s="21" t="s">
        <v>71</v>
      </c>
      <c r="BI93" s="21" t="s">
        <v>71</v>
      </c>
      <c r="BJ93" s="21" t="s">
        <v>71</v>
      </c>
      <c r="BK93" s="21" t="s">
        <v>71</v>
      </c>
      <c r="BL93" s="21" t="s">
        <v>71</v>
      </c>
      <c r="BM93" s="21" t="s">
        <v>71</v>
      </c>
      <c r="BN93" s="18">
        <f>37289008.09</f>
        <v>37289008.09</v>
      </c>
      <c r="BO93" s="18"/>
      <c r="BP93" s="18"/>
      <c r="BQ93" s="22" t="s">
        <v>71</v>
      </c>
    </row>
    <row r="94" spans="1:69" s="1" customFormat="1" ht="13.5" customHeight="1">
      <c r="A94" s="16" t="s">
        <v>221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220</v>
      </c>
      <c r="N94" s="23"/>
      <c r="O94" s="23"/>
      <c r="P94" s="31" t="s">
        <v>222</v>
      </c>
      <c r="Q94" s="31"/>
      <c r="R94" s="31"/>
      <c r="S94" s="31"/>
      <c r="T94" s="31"/>
      <c r="U94" s="24">
        <f>12977853.76</f>
        <v>12977853.76</v>
      </c>
      <c r="V94" s="24"/>
      <c r="W94" s="24"/>
      <c r="X94" s="25" t="s">
        <v>71</v>
      </c>
      <c r="Y94" s="25"/>
      <c r="Z94" s="25"/>
      <c r="AA94" s="25"/>
      <c r="AB94" s="24">
        <f>12977853.76</f>
        <v>12977853.76</v>
      </c>
      <c r="AC94" s="24"/>
      <c r="AD94" s="24"/>
      <c r="AE94" s="28">
        <f>138504</f>
        <v>138504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13116357.76</f>
        <v>13116357.76</v>
      </c>
      <c r="AU94" s="24"/>
      <c r="AV94" s="24"/>
      <c r="AW94" s="25" t="s">
        <v>71</v>
      </c>
      <c r="AX94" s="25"/>
      <c r="AY94" s="24">
        <f>12091589.59</f>
        <v>12091589.59</v>
      </c>
      <c r="AZ94" s="24"/>
      <c r="BA94" s="25" t="s">
        <v>71</v>
      </c>
      <c r="BB94" s="25"/>
      <c r="BC94" s="25"/>
      <c r="BD94" s="24">
        <f>12091589.59</f>
        <v>12091589.59</v>
      </c>
      <c r="BE94" s="24"/>
      <c r="BF94" s="28">
        <f>0</f>
        <v>0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12091589.59</f>
        <v>12091589.59</v>
      </c>
      <c r="BO94" s="24"/>
      <c r="BP94" s="24"/>
      <c r="BQ94" s="27" t="s">
        <v>71</v>
      </c>
    </row>
    <row r="95" spans="1:69" s="1" customFormat="1" ht="33.75" customHeight="1">
      <c r="A95" s="16" t="s">
        <v>223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220</v>
      </c>
      <c r="N95" s="23"/>
      <c r="O95" s="23"/>
      <c r="P95" s="31" t="s">
        <v>224</v>
      </c>
      <c r="Q95" s="31"/>
      <c r="R95" s="31"/>
      <c r="S95" s="31"/>
      <c r="T95" s="31"/>
      <c r="U95" s="24">
        <f>1023929</f>
        <v>1023929</v>
      </c>
      <c r="V95" s="24"/>
      <c r="W95" s="24"/>
      <c r="X95" s="25" t="s">
        <v>71</v>
      </c>
      <c r="Y95" s="25"/>
      <c r="Z95" s="25"/>
      <c r="AA95" s="25"/>
      <c r="AB95" s="24">
        <f>1023929</f>
        <v>1023929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1023929</f>
        <v>1023929</v>
      </c>
      <c r="AU95" s="24"/>
      <c r="AV95" s="24"/>
      <c r="AW95" s="25" t="s">
        <v>71</v>
      </c>
      <c r="AX95" s="25"/>
      <c r="AY95" s="24">
        <f>987408.52</f>
        <v>987408.52</v>
      </c>
      <c r="AZ95" s="24"/>
      <c r="BA95" s="25" t="s">
        <v>71</v>
      </c>
      <c r="BB95" s="25"/>
      <c r="BC95" s="25"/>
      <c r="BD95" s="24">
        <f>987408.52</f>
        <v>987408.52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987408.52</f>
        <v>987408.52</v>
      </c>
      <c r="BO95" s="24"/>
      <c r="BP95" s="24"/>
      <c r="BQ95" s="27" t="s">
        <v>71</v>
      </c>
    </row>
    <row r="96" spans="1:69" s="1" customFormat="1" ht="54.75" customHeight="1">
      <c r="A96" s="16" t="s">
        <v>225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220</v>
      </c>
      <c r="N96" s="23"/>
      <c r="O96" s="23"/>
      <c r="P96" s="31" t="s">
        <v>226</v>
      </c>
      <c r="Q96" s="31"/>
      <c r="R96" s="31"/>
      <c r="S96" s="31"/>
      <c r="T96" s="31"/>
      <c r="U96" s="24">
        <f>1023929</f>
        <v>1023929</v>
      </c>
      <c r="V96" s="24"/>
      <c r="W96" s="24"/>
      <c r="X96" s="25" t="s">
        <v>71</v>
      </c>
      <c r="Y96" s="25"/>
      <c r="Z96" s="25"/>
      <c r="AA96" s="25"/>
      <c r="AB96" s="24">
        <f>1023929</f>
        <v>1023929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1023929</f>
        <v>1023929</v>
      </c>
      <c r="AU96" s="24"/>
      <c r="AV96" s="24"/>
      <c r="AW96" s="25" t="s">
        <v>71</v>
      </c>
      <c r="AX96" s="25"/>
      <c r="AY96" s="24">
        <f>987408.52</f>
        <v>987408.52</v>
      </c>
      <c r="AZ96" s="24"/>
      <c r="BA96" s="25" t="s">
        <v>71</v>
      </c>
      <c r="BB96" s="25"/>
      <c r="BC96" s="25"/>
      <c r="BD96" s="24">
        <f>987408.52</f>
        <v>987408.52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987408.52</f>
        <v>987408.52</v>
      </c>
      <c r="BO96" s="24"/>
      <c r="BP96" s="24"/>
      <c r="BQ96" s="27" t="s">
        <v>71</v>
      </c>
    </row>
    <row r="97" spans="1:69" s="1" customFormat="1" ht="24" customHeight="1">
      <c r="A97" s="16" t="s">
        <v>227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220</v>
      </c>
      <c r="N97" s="23"/>
      <c r="O97" s="23"/>
      <c r="P97" s="31" t="s">
        <v>228</v>
      </c>
      <c r="Q97" s="31"/>
      <c r="R97" s="31"/>
      <c r="S97" s="31"/>
      <c r="T97" s="31"/>
      <c r="U97" s="24">
        <f>1023929</f>
        <v>1023929</v>
      </c>
      <c r="V97" s="24"/>
      <c r="W97" s="24"/>
      <c r="X97" s="25" t="s">
        <v>71</v>
      </c>
      <c r="Y97" s="25"/>
      <c r="Z97" s="25"/>
      <c r="AA97" s="25"/>
      <c r="AB97" s="24">
        <f>1023929</f>
        <v>1023929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1023929</f>
        <v>1023929</v>
      </c>
      <c r="AU97" s="24"/>
      <c r="AV97" s="24"/>
      <c r="AW97" s="25" t="s">
        <v>71</v>
      </c>
      <c r="AX97" s="25"/>
      <c r="AY97" s="24">
        <f>987408.52</f>
        <v>987408.52</v>
      </c>
      <c r="AZ97" s="24"/>
      <c r="BA97" s="25" t="s">
        <v>71</v>
      </c>
      <c r="BB97" s="25"/>
      <c r="BC97" s="25"/>
      <c r="BD97" s="24">
        <f>987408.52</f>
        <v>987408.52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987408.52</f>
        <v>987408.52</v>
      </c>
      <c r="BO97" s="24"/>
      <c r="BP97" s="24"/>
      <c r="BQ97" s="27" t="s">
        <v>71</v>
      </c>
    </row>
    <row r="98" spans="1:69" s="1" customFormat="1" ht="24" customHeight="1">
      <c r="A98" s="16" t="s">
        <v>229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220</v>
      </c>
      <c r="N98" s="23"/>
      <c r="O98" s="23"/>
      <c r="P98" s="31" t="s">
        <v>230</v>
      </c>
      <c r="Q98" s="31"/>
      <c r="R98" s="31"/>
      <c r="S98" s="31"/>
      <c r="T98" s="31"/>
      <c r="U98" s="24">
        <f>786428</f>
        <v>786428</v>
      </c>
      <c r="V98" s="24"/>
      <c r="W98" s="24"/>
      <c r="X98" s="25" t="s">
        <v>71</v>
      </c>
      <c r="Y98" s="25"/>
      <c r="Z98" s="25"/>
      <c r="AA98" s="25"/>
      <c r="AB98" s="24">
        <f>786428</f>
        <v>786428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786428</f>
        <v>786428</v>
      </c>
      <c r="AU98" s="24"/>
      <c r="AV98" s="24"/>
      <c r="AW98" s="25" t="s">
        <v>71</v>
      </c>
      <c r="AX98" s="25"/>
      <c r="AY98" s="24">
        <f>760895.52</f>
        <v>760895.52</v>
      </c>
      <c r="AZ98" s="24"/>
      <c r="BA98" s="25" t="s">
        <v>71</v>
      </c>
      <c r="BB98" s="25"/>
      <c r="BC98" s="25"/>
      <c r="BD98" s="24">
        <f>760895.52</f>
        <v>760895.52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760895.52</f>
        <v>760895.52</v>
      </c>
      <c r="BO98" s="24"/>
      <c r="BP98" s="24"/>
      <c r="BQ98" s="27" t="s">
        <v>71</v>
      </c>
    </row>
    <row r="99" spans="1:69" s="1" customFormat="1" ht="33.75" customHeight="1">
      <c r="A99" s="16" t="s">
        <v>231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220</v>
      </c>
      <c r="N99" s="23"/>
      <c r="O99" s="23"/>
      <c r="P99" s="31" t="s">
        <v>232</v>
      </c>
      <c r="Q99" s="31"/>
      <c r="R99" s="31"/>
      <c r="S99" s="31"/>
      <c r="T99" s="31"/>
      <c r="U99" s="24">
        <f>237501</f>
        <v>237501</v>
      </c>
      <c r="V99" s="24"/>
      <c r="W99" s="24"/>
      <c r="X99" s="25" t="s">
        <v>71</v>
      </c>
      <c r="Y99" s="25"/>
      <c r="Z99" s="25"/>
      <c r="AA99" s="25"/>
      <c r="AB99" s="24">
        <f>237501</f>
        <v>237501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237501</f>
        <v>237501</v>
      </c>
      <c r="AU99" s="24"/>
      <c r="AV99" s="24"/>
      <c r="AW99" s="25" t="s">
        <v>71</v>
      </c>
      <c r="AX99" s="25"/>
      <c r="AY99" s="24">
        <f>226513</f>
        <v>226513</v>
      </c>
      <c r="AZ99" s="24"/>
      <c r="BA99" s="25" t="s">
        <v>71</v>
      </c>
      <c r="BB99" s="25"/>
      <c r="BC99" s="25"/>
      <c r="BD99" s="24">
        <f>226513</f>
        <v>226513</v>
      </c>
      <c r="BE99" s="24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226513</f>
        <v>226513</v>
      </c>
      <c r="BO99" s="24"/>
      <c r="BP99" s="24"/>
      <c r="BQ99" s="27" t="s">
        <v>71</v>
      </c>
    </row>
    <row r="100" spans="1:69" s="1" customFormat="1" ht="45" customHeight="1">
      <c r="A100" s="16" t="s">
        <v>233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220</v>
      </c>
      <c r="N100" s="23"/>
      <c r="O100" s="23"/>
      <c r="P100" s="31" t="s">
        <v>234</v>
      </c>
      <c r="Q100" s="31"/>
      <c r="R100" s="31"/>
      <c r="S100" s="31"/>
      <c r="T100" s="31"/>
      <c r="U100" s="24">
        <f>5664436</f>
        <v>5664436</v>
      </c>
      <c r="V100" s="24"/>
      <c r="W100" s="24"/>
      <c r="X100" s="25" t="s">
        <v>71</v>
      </c>
      <c r="Y100" s="25"/>
      <c r="Z100" s="25"/>
      <c r="AA100" s="25"/>
      <c r="AB100" s="24">
        <f>5664436</f>
        <v>5664436</v>
      </c>
      <c r="AC100" s="24"/>
      <c r="AD100" s="24"/>
      <c r="AE100" s="28">
        <f>51840</f>
        <v>51840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5716276</f>
        <v>5716276</v>
      </c>
      <c r="AU100" s="24"/>
      <c r="AV100" s="24"/>
      <c r="AW100" s="25" t="s">
        <v>71</v>
      </c>
      <c r="AX100" s="25"/>
      <c r="AY100" s="24">
        <f>5422299.76</f>
        <v>5422299.76</v>
      </c>
      <c r="AZ100" s="24"/>
      <c r="BA100" s="25" t="s">
        <v>71</v>
      </c>
      <c r="BB100" s="25"/>
      <c r="BC100" s="25"/>
      <c r="BD100" s="24">
        <f>5422299.76</f>
        <v>5422299.76</v>
      </c>
      <c r="BE100" s="24"/>
      <c r="BF100" s="28">
        <f>0</f>
        <v>0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5422299.76</f>
        <v>5422299.76</v>
      </c>
      <c r="BO100" s="24"/>
      <c r="BP100" s="24"/>
      <c r="BQ100" s="27" t="s">
        <v>71</v>
      </c>
    </row>
    <row r="101" spans="1:69" s="1" customFormat="1" ht="54.75" customHeight="1">
      <c r="A101" s="16" t="s">
        <v>225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220</v>
      </c>
      <c r="N101" s="23"/>
      <c r="O101" s="23"/>
      <c r="P101" s="31" t="s">
        <v>235</v>
      </c>
      <c r="Q101" s="31"/>
      <c r="R101" s="31"/>
      <c r="S101" s="31"/>
      <c r="T101" s="31"/>
      <c r="U101" s="24">
        <f>4275347</f>
        <v>4275347</v>
      </c>
      <c r="V101" s="24"/>
      <c r="W101" s="24"/>
      <c r="X101" s="25" t="s">
        <v>71</v>
      </c>
      <c r="Y101" s="25"/>
      <c r="Z101" s="25"/>
      <c r="AA101" s="25"/>
      <c r="AB101" s="24">
        <f>4275347</f>
        <v>4275347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4275347</f>
        <v>4275347</v>
      </c>
      <c r="AU101" s="24"/>
      <c r="AV101" s="24"/>
      <c r="AW101" s="25" t="s">
        <v>71</v>
      </c>
      <c r="AX101" s="25"/>
      <c r="AY101" s="24">
        <f>4183294.24</f>
        <v>4183294.24</v>
      </c>
      <c r="AZ101" s="24"/>
      <c r="BA101" s="25" t="s">
        <v>71</v>
      </c>
      <c r="BB101" s="25"/>
      <c r="BC101" s="25"/>
      <c r="BD101" s="24">
        <f>4183294.24</f>
        <v>4183294.24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4183294.24</f>
        <v>4183294.24</v>
      </c>
      <c r="BO101" s="24"/>
      <c r="BP101" s="24"/>
      <c r="BQ101" s="27" t="s">
        <v>71</v>
      </c>
    </row>
    <row r="102" spans="1:69" s="1" customFormat="1" ht="24" customHeight="1">
      <c r="A102" s="16" t="s">
        <v>227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220</v>
      </c>
      <c r="N102" s="23"/>
      <c r="O102" s="23"/>
      <c r="P102" s="31" t="s">
        <v>236</v>
      </c>
      <c r="Q102" s="31"/>
      <c r="R102" s="31"/>
      <c r="S102" s="31"/>
      <c r="T102" s="31"/>
      <c r="U102" s="24">
        <f>4275347</f>
        <v>4275347</v>
      </c>
      <c r="V102" s="24"/>
      <c r="W102" s="24"/>
      <c r="X102" s="25" t="s">
        <v>71</v>
      </c>
      <c r="Y102" s="25"/>
      <c r="Z102" s="25"/>
      <c r="AA102" s="25"/>
      <c r="AB102" s="24">
        <f>4275347</f>
        <v>4275347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4275347</f>
        <v>4275347</v>
      </c>
      <c r="AU102" s="24"/>
      <c r="AV102" s="24"/>
      <c r="AW102" s="25" t="s">
        <v>71</v>
      </c>
      <c r="AX102" s="25"/>
      <c r="AY102" s="24">
        <f>4183294.24</f>
        <v>4183294.24</v>
      </c>
      <c r="AZ102" s="24"/>
      <c r="BA102" s="25" t="s">
        <v>71</v>
      </c>
      <c r="BB102" s="25"/>
      <c r="BC102" s="25"/>
      <c r="BD102" s="24">
        <f>4183294.24</f>
        <v>4183294.24</v>
      </c>
      <c r="BE102" s="24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4">
        <f>4183294.24</f>
        <v>4183294.24</v>
      </c>
      <c r="BO102" s="24"/>
      <c r="BP102" s="24"/>
      <c r="BQ102" s="27" t="s">
        <v>71</v>
      </c>
    </row>
    <row r="103" spans="1:69" s="1" customFormat="1" ht="24" customHeight="1">
      <c r="A103" s="16" t="s">
        <v>229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220</v>
      </c>
      <c r="N103" s="23"/>
      <c r="O103" s="23"/>
      <c r="P103" s="31" t="s">
        <v>237</v>
      </c>
      <c r="Q103" s="31"/>
      <c r="R103" s="31"/>
      <c r="S103" s="31"/>
      <c r="T103" s="31"/>
      <c r="U103" s="24">
        <f>3296939.35</f>
        <v>3296939.35</v>
      </c>
      <c r="V103" s="24"/>
      <c r="W103" s="24"/>
      <c r="X103" s="25" t="s">
        <v>71</v>
      </c>
      <c r="Y103" s="25"/>
      <c r="Z103" s="25"/>
      <c r="AA103" s="25"/>
      <c r="AB103" s="24">
        <f>3296939.35</f>
        <v>3296939.35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3296939.35</f>
        <v>3296939.35</v>
      </c>
      <c r="AU103" s="24"/>
      <c r="AV103" s="24"/>
      <c r="AW103" s="25" t="s">
        <v>71</v>
      </c>
      <c r="AX103" s="25"/>
      <c r="AY103" s="24">
        <f>3235038.99</f>
        <v>3235038.99</v>
      </c>
      <c r="AZ103" s="24"/>
      <c r="BA103" s="25" t="s">
        <v>71</v>
      </c>
      <c r="BB103" s="25"/>
      <c r="BC103" s="25"/>
      <c r="BD103" s="24">
        <f>3235038.99</f>
        <v>3235038.99</v>
      </c>
      <c r="BE103" s="24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4">
        <f>3235038.99</f>
        <v>3235038.99</v>
      </c>
      <c r="BO103" s="24"/>
      <c r="BP103" s="24"/>
      <c r="BQ103" s="27" t="s">
        <v>71</v>
      </c>
    </row>
    <row r="104" spans="1:69" s="1" customFormat="1" ht="33.75" customHeight="1">
      <c r="A104" s="16" t="s">
        <v>231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220</v>
      </c>
      <c r="N104" s="23"/>
      <c r="O104" s="23"/>
      <c r="P104" s="31" t="s">
        <v>238</v>
      </c>
      <c r="Q104" s="31"/>
      <c r="R104" s="31"/>
      <c r="S104" s="31"/>
      <c r="T104" s="31"/>
      <c r="U104" s="24">
        <f>978407.65</f>
        <v>978407.65</v>
      </c>
      <c r="V104" s="24"/>
      <c r="W104" s="24"/>
      <c r="X104" s="25" t="s">
        <v>71</v>
      </c>
      <c r="Y104" s="25"/>
      <c r="Z104" s="25"/>
      <c r="AA104" s="25"/>
      <c r="AB104" s="24">
        <f>978407.65</f>
        <v>978407.65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978407.65</f>
        <v>978407.65</v>
      </c>
      <c r="AU104" s="24"/>
      <c r="AV104" s="24"/>
      <c r="AW104" s="25" t="s">
        <v>71</v>
      </c>
      <c r="AX104" s="25"/>
      <c r="AY104" s="24">
        <f>948255.25</f>
        <v>948255.25</v>
      </c>
      <c r="AZ104" s="24"/>
      <c r="BA104" s="25" t="s">
        <v>71</v>
      </c>
      <c r="BB104" s="25"/>
      <c r="BC104" s="25"/>
      <c r="BD104" s="24">
        <f>948255.25</f>
        <v>948255.25</v>
      </c>
      <c r="BE104" s="24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4">
        <f>948255.25</f>
        <v>948255.25</v>
      </c>
      <c r="BO104" s="24"/>
      <c r="BP104" s="24"/>
      <c r="BQ104" s="27" t="s">
        <v>71</v>
      </c>
    </row>
    <row r="105" spans="1:69" s="1" customFormat="1" ht="24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220</v>
      </c>
      <c r="N105" s="23"/>
      <c r="O105" s="23"/>
      <c r="P105" s="31" t="s">
        <v>240</v>
      </c>
      <c r="Q105" s="31"/>
      <c r="R105" s="31"/>
      <c r="S105" s="31"/>
      <c r="T105" s="31"/>
      <c r="U105" s="24">
        <f>1385889</f>
        <v>1385889</v>
      </c>
      <c r="V105" s="24"/>
      <c r="W105" s="24"/>
      <c r="X105" s="25" t="s">
        <v>71</v>
      </c>
      <c r="Y105" s="25"/>
      <c r="Z105" s="25"/>
      <c r="AA105" s="25"/>
      <c r="AB105" s="24">
        <f>1385889</f>
        <v>1385889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1385889</f>
        <v>1385889</v>
      </c>
      <c r="AU105" s="24"/>
      <c r="AV105" s="24"/>
      <c r="AW105" s="25" t="s">
        <v>71</v>
      </c>
      <c r="AX105" s="25"/>
      <c r="AY105" s="24">
        <f>1185165.52</f>
        <v>1185165.52</v>
      </c>
      <c r="AZ105" s="24"/>
      <c r="BA105" s="25" t="s">
        <v>71</v>
      </c>
      <c r="BB105" s="25"/>
      <c r="BC105" s="25"/>
      <c r="BD105" s="24">
        <f>1185165.52</f>
        <v>1185165.52</v>
      </c>
      <c r="BE105" s="24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4">
        <f>1185165.52</f>
        <v>1185165.52</v>
      </c>
      <c r="BO105" s="24"/>
      <c r="BP105" s="24"/>
      <c r="BQ105" s="27" t="s">
        <v>71</v>
      </c>
    </row>
    <row r="106" spans="1:69" s="1" customFormat="1" ht="24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220</v>
      </c>
      <c r="N106" s="23"/>
      <c r="O106" s="23"/>
      <c r="P106" s="31" t="s">
        <v>242</v>
      </c>
      <c r="Q106" s="31"/>
      <c r="R106" s="31"/>
      <c r="S106" s="31"/>
      <c r="T106" s="31"/>
      <c r="U106" s="24">
        <f>1385889</f>
        <v>1385889</v>
      </c>
      <c r="V106" s="24"/>
      <c r="W106" s="24"/>
      <c r="X106" s="25" t="s">
        <v>71</v>
      </c>
      <c r="Y106" s="25"/>
      <c r="Z106" s="25"/>
      <c r="AA106" s="25"/>
      <c r="AB106" s="24">
        <f>1385889</f>
        <v>1385889</v>
      </c>
      <c r="AC106" s="24"/>
      <c r="AD106" s="24"/>
      <c r="AE106" s="26" t="s">
        <v>71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1385889</f>
        <v>1385889</v>
      </c>
      <c r="AU106" s="24"/>
      <c r="AV106" s="24"/>
      <c r="AW106" s="25" t="s">
        <v>71</v>
      </c>
      <c r="AX106" s="25"/>
      <c r="AY106" s="24">
        <f>1185165.52</f>
        <v>1185165.52</v>
      </c>
      <c r="AZ106" s="24"/>
      <c r="BA106" s="25" t="s">
        <v>71</v>
      </c>
      <c r="BB106" s="25"/>
      <c r="BC106" s="25"/>
      <c r="BD106" s="24">
        <f>1185165.52</f>
        <v>1185165.52</v>
      </c>
      <c r="BE106" s="24"/>
      <c r="BF106" s="26" t="s">
        <v>71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1185165.52</f>
        <v>1185165.52</v>
      </c>
      <c r="BO106" s="24"/>
      <c r="BP106" s="24"/>
      <c r="BQ106" s="27" t="s">
        <v>71</v>
      </c>
    </row>
    <row r="107" spans="1:69" s="1" customFormat="1" ht="13.5" customHeight="1">
      <c r="A107" s="16" t="s">
        <v>243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220</v>
      </c>
      <c r="N107" s="23"/>
      <c r="O107" s="23"/>
      <c r="P107" s="31" t="s">
        <v>244</v>
      </c>
      <c r="Q107" s="31"/>
      <c r="R107" s="31"/>
      <c r="S107" s="31"/>
      <c r="T107" s="31"/>
      <c r="U107" s="24">
        <f>1185555.06</f>
        <v>1185555.06</v>
      </c>
      <c r="V107" s="24"/>
      <c r="W107" s="24"/>
      <c r="X107" s="25" t="s">
        <v>71</v>
      </c>
      <c r="Y107" s="25"/>
      <c r="Z107" s="25"/>
      <c r="AA107" s="25"/>
      <c r="AB107" s="24">
        <f>1185555.06</f>
        <v>1185555.06</v>
      </c>
      <c r="AC107" s="24"/>
      <c r="AD107" s="24"/>
      <c r="AE107" s="26" t="s">
        <v>71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1185555.06</f>
        <v>1185555.06</v>
      </c>
      <c r="AU107" s="24"/>
      <c r="AV107" s="24"/>
      <c r="AW107" s="25" t="s">
        <v>71</v>
      </c>
      <c r="AX107" s="25"/>
      <c r="AY107" s="24">
        <f>1048878.34</f>
        <v>1048878.34</v>
      </c>
      <c r="AZ107" s="24"/>
      <c r="BA107" s="25" t="s">
        <v>71</v>
      </c>
      <c r="BB107" s="25"/>
      <c r="BC107" s="25"/>
      <c r="BD107" s="24">
        <f>1048878.34</f>
        <v>1048878.34</v>
      </c>
      <c r="BE107" s="24"/>
      <c r="BF107" s="26" t="s">
        <v>71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1048878.34</f>
        <v>1048878.34</v>
      </c>
      <c r="BO107" s="24"/>
      <c r="BP107" s="24"/>
      <c r="BQ107" s="27" t="s">
        <v>71</v>
      </c>
    </row>
    <row r="108" spans="1:69" s="1" customFormat="1" ht="13.5" customHeight="1">
      <c r="A108" s="16" t="s">
        <v>245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220</v>
      </c>
      <c r="N108" s="23"/>
      <c r="O108" s="23"/>
      <c r="P108" s="31" t="s">
        <v>246</v>
      </c>
      <c r="Q108" s="31"/>
      <c r="R108" s="31"/>
      <c r="S108" s="31"/>
      <c r="T108" s="31"/>
      <c r="U108" s="24">
        <f>200333.94</f>
        <v>200333.94</v>
      </c>
      <c r="V108" s="24"/>
      <c r="W108" s="24"/>
      <c r="X108" s="25" t="s">
        <v>71</v>
      </c>
      <c r="Y108" s="25"/>
      <c r="Z108" s="25"/>
      <c r="AA108" s="25"/>
      <c r="AB108" s="24">
        <f>200333.94</f>
        <v>200333.94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200333.94</f>
        <v>200333.94</v>
      </c>
      <c r="AU108" s="24"/>
      <c r="AV108" s="24"/>
      <c r="AW108" s="25" t="s">
        <v>71</v>
      </c>
      <c r="AX108" s="25"/>
      <c r="AY108" s="24">
        <f>136287.18</f>
        <v>136287.18</v>
      </c>
      <c r="AZ108" s="24"/>
      <c r="BA108" s="25" t="s">
        <v>71</v>
      </c>
      <c r="BB108" s="25"/>
      <c r="BC108" s="25"/>
      <c r="BD108" s="24">
        <f>136287.18</f>
        <v>136287.18</v>
      </c>
      <c r="BE108" s="24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4">
        <f>136287.18</f>
        <v>136287.18</v>
      </c>
      <c r="BO108" s="24"/>
      <c r="BP108" s="24"/>
      <c r="BQ108" s="27" t="s">
        <v>71</v>
      </c>
    </row>
    <row r="109" spans="1:69" s="1" customFormat="1" ht="13.5" customHeight="1">
      <c r="A109" s="16" t="s">
        <v>247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220</v>
      </c>
      <c r="N109" s="23"/>
      <c r="O109" s="23"/>
      <c r="P109" s="31" t="s">
        <v>248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71</v>
      </c>
      <c r="Y109" s="25"/>
      <c r="Z109" s="25"/>
      <c r="AA109" s="25"/>
      <c r="AB109" s="24">
        <f>0</f>
        <v>0</v>
      </c>
      <c r="AC109" s="24"/>
      <c r="AD109" s="24"/>
      <c r="AE109" s="28">
        <f>51840</f>
        <v>51840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51840</f>
        <v>51840</v>
      </c>
      <c r="AU109" s="24"/>
      <c r="AV109" s="24"/>
      <c r="AW109" s="25" t="s">
        <v>71</v>
      </c>
      <c r="AX109" s="25"/>
      <c r="AY109" s="24">
        <f>51840</f>
        <v>51840</v>
      </c>
      <c r="AZ109" s="24"/>
      <c r="BA109" s="25" t="s">
        <v>71</v>
      </c>
      <c r="BB109" s="25"/>
      <c r="BC109" s="25"/>
      <c r="BD109" s="24">
        <f>51840</f>
        <v>51840</v>
      </c>
      <c r="BE109" s="24"/>
      <c r="BF109" s="28">
        <f>0</f>
        <v>0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4">
        <f>51840</f>
        <v>51840</v>
      </c>
      <c r="BO109" s="24"/>
      <c r="BP109" s="24"/>
      <c r="BQ109" s="27" t="s">
        <v>71</v>
      </c>
    </row>
    <row r="110" spans="1:69" s="1" customFormat="1" ht="13.5" customHeight="1">
      <c r="A110" s="16" t="s">
        <v>249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220</v>
      </c>
      <c r="N110" s="23"/>
      <c r="O110" s="23"/>
      <c r="P110" s="31" t="s">
        <v>250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71</v>
      </c>
      <c r="Y110" s="25"/>
      <c r="Z110" s="25"/>
      <c r="AA110" s="25"/>
      <c r="AB110" s="24">
        <f>0</f>
        <v>0</v>
      </c>
      <c r="AC110" s="24"/>
      <c r="AD110" s="24"/>
      <c r="AE110" s="28">
        <f>51840</f>
        <v>51840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51840</f>
        <v>51840</v>
      </c>
      <c r="AU110" s="24"/>
      <c r="AV110" s="24"/>
      <c r="AW110" s="25" t="s">
        <v>71</v>
      </c>
      <c r="AX110" s="25"/>
      <c r="AY110" s="24">
        <f>51840</f>
        <v>51840</v>
      </c>
      <c r="AZ110" s="24"/>
      <c r="BA110" s="25" t="s">
        <v>71</v>
      </c>
      <c r="BB110" s="25"/>
      <c r="BC110" s="25"/>
      <c r="BD110" s="24">
        <f>51840</f>
        <v>51840</v>
      </c>
      <c r="BE110" s="24"/>
      <c r="BF110" s="28">
        <f>0</f>
        <v>0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4">
        <f>51840</f>
        <v>51840</v>
      </c>
      <c r="BO110" s="24"/>
      <c r="BP110" s="24"/>
      <c r="BQ110" s="27" t="s">
        <v>71</v>
      </c>
    </row>
    <row r="111" spans="1:69" s="1" customFormat="1" ht="13.5" customHeight="1">
      <c r="A111" s="16" t="s">
        <v>251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220</v>
      </c>
      <c r="N111" s="23"/>
      <c r="O111" s="23"/>
      <c r="P111" s="31" t="s">
        <v>252</v>
      </c>
      <c r="Q111" s="31"/>
      <c r="R111" s="31"/>
      <c r="S111" s="31"/>
      <c r="T111" s="31"/>
      <c r="U111" s="24">
        <f>3200</f>
        <v>3200</v>
      </c>
      <c r="V111" s="24"/>
      <c r="W111" s="24"/>
      <c r="X111" s="25" t="s">
        <v>71</v>
      </c>
      <c r="Y111" s="25"/>
      <c r="Z111" s="25"/>
      <c r="AA111" s="25"/>
      <c r="AB111" s="24">
        <f>3200</f>
        <v>3200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3200</f>
        <v>3200</v>
      </c>
      <c r="AU111" s="24"/>
      <c r="AV111" s="24"/>
      <c r="AW111" s="25" t="s">
        <v>71</v>
      </c>
      <c r="AX111" s="25"/>
      <c r="AY111" s="24">
        <f>2000</f>
        <v>2000</v>
      </c>
      <c r="AZ111" s="24"/>
      <c r="BA111" s="25" t="s">
        <v>71</v>
      </c>
      <c r="BB111" s="25"/>
      <c r="BC111" s="25"/>
      <c r="BD111" s="24">
        <f>2000</f>
        <v>2000</v>
      </c>
      <c r="BE111" s="24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4">
        <f>2000</f>
        <v>2000</v>
      </c>
      <c r="BO111" s="24"/>
      <c r="BP111" s="24"/>
      <c r="BQ111" s="27" t="s">
        <v>71</v>
      </c>
    </row>
    <row r="112" spans="1:69" s="1" customFormat="1" ht="13.5" customHeight="1">
      <c r="A112" s="16" t="s">
        <v>253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220</v>
      </c>
      <c r="N112" s="23"/>
      <c r="O112" s="23"/>
      <c r="P112" s="31" t="s">
        <v>254</v>
      </c>
      <c r="Q112" s="31"/>
      <c r="R112" s="31"/>
      <c r="S112" s="31"/>
      <c r="T112" s="31"/>
      <c r="U112" s="24">
        <f>3200</f>
        <v>3200</v>
      </c>
      <c r="V112" s="24"/>
      <c r="W112" s="24"/>
      <c r="X112" s="25" t="s">
        <v>71</v>
      </c>
      <c r="Y112" s="25"/>
      <c r="Z112" s="25"/>
      <c r="AA112" s="25"/>
      <c r="AB112" s="24">
        <f>3200</f>
        <v>3200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3200</f>
        <v>3200</v>
      </c>
      <c r="AU112" s="24"/>
      <c r="AV112" s="24"/>
      <c r="AW112" s="25" t="s">
        <v>71</v>
      </c>
      <c r="AX112" s="25"/>
      <c r="AY112" s="24">
        <f>2000</f>
        <v>2000</v>
      </c>
      <c r="AZ112" s="24"/>
      <c r="BA112" s="25" t="s">
        <v>71</v>
      </c>
      <c r="BB112" s="25"/>
      <c r="BC112" s="25"/>
      <c r="BD112" s="24">
        <f>2000</f>
        <v>2000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2000</f>
        <v>2000</v>
      </c>
      <c r="BO112" s="24"/>
      <c r="BP112" s="24"/>
      <c r="BQ112" s="27" t="s">
        <v>71</v>
      </c>
    </row>
    <row r="113" spans="1:69" s="1" customFormat="1" ht="24" customHeight="1">
      <c r="A113" s="16" t="s">
        <v>255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220</v>
      </c>
      <c r="N113" s="23"/>
      <c r="O113" s="23"/>
      <c r="P113" s="31" t="s">
        <v>256</v>
      </c>
      <c r="Q113" s="31"/>
      <c r="R113" s="31"/>
      <c r="S113" s="31"/>
      <c r="T113" s="31"/>
      <c r="U113" s="24">
        <f>2000</f>
        <v>2000</v>
      </c>
      <c r="V113" s="24"/>
      <c r="W113" s="24"/>
      <c r="X113" s="25" t="s">
        <v>71</v>
      </c>
      <c r="Y113" s="25"/>
      <c r="Z113" s="25"/>
      <c r="AA113" s="25"/>
      <c r="AB113" s="24">
        <f>2000</f>
        <v>2000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2000</f>
        <v>2000</v>
      </c>
      <c r="AU113" s="24"/>
      <c r="AV113" s="24"/>
      <c r="AW113" s="25" t="s">
        <v>71</v>
      </c>
      <c r="AX113" s="25"/>
      <c r="AY113" s="24">
        <f>2000</f>
        <v>2000</v>
      </c>
      <c r="AZ113" s="24"/>
      <c r="BA113" s="25" t="s">
        <v>71</v>
      </c>
      <c r="BB113" s="25"/>
      <c r="BC113" s="25"/>
      <c r="BD113" s="24">
        <f>2000</f>
        <v>2000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2000</f>
        <v>2000</v>
      </c>
      <c r="BO113" s="24"/>
      <c r="BP113" s="24"/>
      <c r="BQ113" s="27" t="s">
        <v>71</v>
      </c>
    </row>
    <row r="114" spans="1:69" s="1" customFormat="1" ht="13.5" customHeight="1">
      <c r="A114" s="16" t="s">
        <v>257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220</v>
      </c>
      <c r="N114" s="23"/>
      <c r="O114" s="23"/>
      <c r="P114" s="31" t="s">
        <v>258</v>
      </c>
      <c r="Q114" s="31"/>
      <c r="R114" s="31"/>
      <c r="S114" s="31"/>
      <c r="T114" s="31"/>
      <c r="U114" s="24">
        <f>1000</f>
        <v>1000</v>
      </c>
      <c r="V114" s="24"/>
      <c r="W114" s="24"/>
      <c r="X114" s="25" t="s">
        <v>71</v>
      </c>
      <c r="Y114" s="25"/>
      <c r="Z114" s="25"/>
      <c r="AA114" s="25"/>
      <c r="AB114" s="24">
        <f>1000</f>
        <v>1000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1000</f>
        <v>1000</v>
      </c>
      <c r="AU114" s="24"/>
      <c r="AV114" s="24"/>
      <c r="AW114" s="25" t="s">
        <v>71</v>
      </c>
      <c r="AX114" s="25"/>
      <c r="AY114" s="25" t="s">
        <v>71</v>
      </c>
      <c r="AZ114" s="25"/>
      <c r="BA114" s="25" t="s">
        <v>71</v>
      </c>
      <c r="BB114" s="25"/>
      <c r="BC114" s="25"/>
      <c r="BD114" s="25" t="s">
        <v>71</v>
      </c>
      <c r="BE114" s="25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5" t="s">
        <v>71</v>
      </c>
      <c r="BO114" s="25"/>
      <c r="BP114" s="25"/>
      <c r="BQ114" s="27" t="s">
        <v>71</v>
      </c>
    </row>
    <row r="115" spans="1:69" s="1" customFormat="1" ht="13.5" customHeight="1">
      <c r="A115" s="16" t="s">
        <v>259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220</v>
      </c>
      <c r="N115" s="23"/>
      <c r="O115" s="23"/>
      <c r="P115" s="31" t="s">
        <v>260</v>
      </c>
      <c r="Q115" s="31"/>
      <c r="R115" s="31"/>
      <c r="S115" s="31"/>
      <c r="T115" s="31"/>
      <c r="U115" s="24">
        <f>200</f>
        <v>200</v>
      </c>
      <c r="V115" s="24"/>
      <c r="W115" s="24"/>
      <c r="X115" s="25" t="s">
        <v>71</v>
      </c>
      <c r="Y115" s="25"/>
      <c r="Z115" s="25"/>
      <c r="AA115" s="25"/>
      <c r="AB115" s="24">
        <f>200</f>
        <v>200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200</f>
        <v>200</v>
      </c>
      <c r="AU115" s="24"/>
      <c r="AV115" s="24"/>
      <c r="AW115" s="25" t="s">
        <v>71</v>
      </c>
      <c r="AX115" s="25"/>
      <c r="AY115" s="25" t="s">
        <v>71</v>
      </c>
      <c r="AZ115" s="25"/>
      <c r="BA115" s="25" t="s">
        <v>71</v>
      </c>
      <c r="BB115" s="25"/>
      <c r="BC115" s="25"/>
      <c r="BD115" s="25" t="s">
        <v>71</v>
      </c>
      <c r="BE115" s="25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5" t="s">
        <v>71</v>
      </c>
      <c r="BO115" s="25"/>
      <c r="BP115" s="25"/>
      <c r="BQ115" s="27" t="s">
        <v>71</v>
      </c>
    </row>
    <row r="116" spans="1:69" s="1" customFormat="1" ht="33.75" customHeight="1">
      <c r="A116" s="16" t="s">
        <v>261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220</v>
      </c>
      <c r="N116" s="23"/>
      <c r="O116" s="23"/>
      <c r="P116" s="31" t="s">
        <v>262</v>
      </c>
      <c r="Q116" s="31"/>
      <c r="R116" s="31"/>
      <c r="S116" s="31"/>
      <c r="T116" s="31"/>
      <c r="U116" s="24">
        <f>0</f>
        <v>0</v>
      </c>
      <c r="V116" s="24"/>
      <c r="W116" s="24"/>
      <c r="X116" s="25" t="s">
        <v>71</v>
      </c>
      <c r="Y116" s="25"/>
      <c r="Z116" s="25"/>
      <c r="AA116" s="25"/>
      <c r="AB116" s="24">
        <f>0</f>
        <v>0</v>
      </c>
      <c r="AC116" s="24"/>
      <c r="AD116" s="24"/>
      <c r="AE116" s="28">
        <f>86664</f>
        <v>86664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86664</f>
        <v>86664</v>
      </c>
      <c r="AU116" s="24"/>
      <c r="AV116" s="24"/>
      <c r="AW116" s="25" t="s">
        <v>71</v>
      </c>
      <c r="AX116" s="25"/>
      <c r="AY116" s="24">
        <f>86664</f>
        <v>86664</v>
      </c>
      <c r="AZ116" s="24"/>
      <c r="BA116" s="25" t="s">
        <v>71</v>
      </c>
      <c r="BB116" s="25"/>
      <c r="BC116" s="25"/>
      <c r="BD116" s="24">
        <f>86664</f>
        <v>86664</v>
      </c>
      <c r="BE116" s="24"/>
      <c r="BF116" s="28">
        <f>0</f>
        <v>0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86664</f>
        <v>86664</v>
      </c>
      <c r="BO116" s="24"/>
      <c r="BP116" s="24"/>
      <c r="BQ116" s="27" t="s">
        <v>71</v>
      </c>
    </row>
    <row r="117" spans="1:69" s="1" customFormat="1" ht="13.5" customHeight="1">
      <c r="A117" s="16" t="s">
        <v>247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220</v>
      </c>
      <c r="N117" s="23"/>
      <c r="O117" s="23"/>
      <c r="P117" s="31" t="s">
        <v>263</v>
      </c>
      <c r="Q117" s="31"/>
      <c r="R117" s="31"/>
      <c r="S117" s="31"/>
      <c r="T117" s="31"/>
      <c r="U117" s="24">
        <f>0</f>
        <v>0</v>
      </c>
      <c r="V117" s="24"/>
      <c r="W117" s="24"/>
      <c r="X117" s="25" t="s">
        <v>71</v>
      </c>
      <c r="Y117" s="25"/>
      <c r="Z117" s="25"/>
      <c r="AA117" s="25"/>
      <c r="AB117" s="24">
        <f>0</f>
        <v>0</v>
      </c>
      <c r="AC117" s="24"/>
      <c r="AD117" s="24"/>
      <c r="AE117" s="28">
        <f>86664</f>
        <v>86664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86664</f>
        <v>86664</v>
      </c>
      <c r="AU117" s="24"/>
      <c r="AV117" s="24"/>
      <c r="AW117" s="25" t="s">
        <v>71</v>
      </c>
      <c r="AX117" s="25"/>
      <c r="AY117" s="24">
        <f>86664</f>
        <v>86664</v>
      </c>
      <c r="AZ117" s="24"/>
      <c r="BA117" s="25" t="s">
        <v>71</v>
      </c>
      <c r="BB117" s="25"/>
      <c r="BC117" s="25"/>
      <c r="BD117" s="24">
        <f>86664</f>
        <v>86664</v>
      </c>
      <c r="BE117" s="24"/>
      <c r="BF117" s="28">
        <f>0</f>
        <v>0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86664</f>
        <v>86664</v>
      </c>
      <c r="BO117" s="24"/>
      <c r="BP117" s="24"/>
      <c r="BQ117" s="27" t="s">
        <v>71</v>
      </c>
    </row>
    <row r="118" spans="1:69" s="1" customFormat="1" ht="13.5" customHeight="1">
      <c r="A118" s="16" t="s">
        <v>249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220</v>
      </c>
      <c r="N118" s="23"/>
      <c r="O118" s="23"/>
      <c r="P118" s="31" t="s">
        <v>264</v>
      </c>
      <c r="Q118" s="31"/>
      <c r="R118" s="31"/>
      <c r="S118" s="31"/>
      <c r="T118" s="31"/>
      <c r="U118" s="24">
        <f>0</f>
        <v>0</v>
      </c>
      <c r="V118" s="24"/>
      <c r="W118" s="24"/>
      <c r="X118" s="25" t="s">
        <v>71</v>
      </c>
      <c r="Y118" s="25"/>
      <c r="Z118" s="25"/>
      <c r="AA118" s="25"/>
      <c r="AB118" s="24">
        <f>0</f>
        <v>0</v>
      </c>
      <c r="AC118" s="24"/>
      <c r="AD118" s="24"/>
      <c r="AE118" s="28">
        <f>86664</f>
        <v>86664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86664</f>
        <v>86664</v>
      </c>
      <c r="AU118" s="24"/>
      <c r="AV118" s="24"/>
      <c r="AW118" s="25" t="s">
        <v>71</v>
      </c>
      <c r="AX118" s="25"/>
      <c r="AY118" s="24">
        <f>86664</f>
        <v>86664</v>
      </c>
      <c r="AZ118" s="24"/>
      <c r="BA118" s="25" t="s">
        <v>71</v>
      </c>
      <c r="BB118" s="25"/>
      <c r="BC118" s="25"/>
      <c r="BD118" s="24">
        <f>86664</f>
        <v>86664</v>
      </c>
      <c r="BE118" s="24"/>
      <c r="BF118" s="28">
        <f>0</f>
        <v>0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86664</f>
        <v>86664</v>
      </c>
      <c r="BO118" s="24"/>
      <c r="BP118" s="24"/>
      <c r="BQ118" s="27" t="s">
        <v>71</v>
      </c>
    </row>
    <row r="119" spans="1:69" s="1" customFormat="1" ht="13.5" customHeight="1">
      <c r="A119" s="16" t="s">
        <v>265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220</v>
      </c>
      <c r="N119" s="23"/>
      <c r="O119" s="23"/>
      <c r="P119" s="31" t="s">
        <v>266</v>
      </c>
      <c r="Q119" s="31"/>
      <c r="R119" s="31"/>
      <c r="S119" s="31"/>
      <c r="T119" s="31"/>
      <c r="U119" s="24">
        <f>32000</f>
        <v>32000</v>
      </c>
      <c r="V119" s="24"/>
      <c r="W119" s="24"/>
      <c r="X119" s="25" t="s">
        <v>71</v>
      </c>
      <c r="Y119" s="25"/>
      <c r="Z119" s="25"/>
      <c r="AA119" s="25"/>
      <c r="AB119" s="24">
        <f>32000</f>
        <v>32000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32000</f>
        <v>32000</v>
      </c>
      <c r="AU119" s="24"/>
      <c r="AV119" s="24"/>
      <c r="AW119" s="25" t="s">
        <v>71</v>
      </c>
      <c r="AX119" s="25"/>
      <c r="AY119" s="25" t="s">
        <v>71</v>
      </c>
      <c r="AZ119" s="25"/>
      <c r="BA119" s="25" t="s">
        <v>71</v>
      </c>
      <c r="BB119" s="25"/>
      <c r="BC119" s="25"/>
      <c r="BD119" s="25" t="s">
        <v>71</v>
      </c>
      <c r="BE119" s="25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5" t="s">
        <v>71</v>
      </c>
      <c r="BO119" s="25"/>
      <c r="BP119" s="25"/>
      <c r="BQ119" s="27" t="s">
        <v>71</v>
      </c>
    </row>
    <row r="120" spans="1:69" s="1" customFormat="1" ht="13.5" customHeight="1">
      <c r="A120" s="16" t="s">
        <v>251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220</v>
      </c>
      <c r="N120" s="23"/>
      <c r="O120" s="23"/>
      <c r="P120" s="31" t="s">
        <v>267</v>
      </c>
      <c r="Q120" s="31"/>
      <c r="R120" s="31"/>
      <c r="S120" s="31"/>
      <c r="T120" s="31"/>
      <c r="U120" s="24">
        <f>32000</f>
        <v>32000</v>
      </c>
      <c r="V120" s="24"/>
      <c r="W120" s="24"/>
      <c r="X120" s="25" t="s">
        <v>71</v>
      </c>
      <c r="Y120" s="25"/>
      <c r="Z120" s="25"/>
      <c r="AA120" s="25"/>
      <c r="AB120" s="24">
        <f>32000</f>
        <v>32000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32000</f>
        <v>32000</v>
      </c>
      <c r="AU120" s="24"/>
      <c r="AV120" s="24"/>
      <c r="AW120" s="25" t="s">
        <v>71</v>
      </c>
      <c r="AX120" s="25"/>
      <c r="AY120" s="25" t="s">
        <v>71</v>
      </c>
      <c r="AZ120" s="25"/>
      <c r="BA120" s="25" t="s">
        <v>71</v>
      </c>
      <c r="BB120" s="25"/>
      <c r="BC120" s="25"/>
      <c r="BD120" s="25" t="s">
        <v>71</v>
      </c>
      <c r="BE120" s="25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5" t="s">
        <v>71</v>
      </c>
      <c r="BO120" s="25"/>
      <c r="BP120" s="25"/>
      <c r="BQ120" s="27" t="s">
        <v>71</v>
      </c>
    </row>
    <row r="121" spans="1:69" s="1" customFormat="1" ht="13.5" customHeight="1">
      <c r="A121" s="16" t="s">
        <v>268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220</v>
      </c>
      <c r="N121" s="23"/>
      <c r="O121" s="23"/>
      <c r="P121" s="31" t="s">
        <v>269</v>
      </c>
      <c r="Q121" s="31"/>
      <c r="R121" s="31"/>
      <c r="S121" s="31"/>
      <c r="T121" s="31"/>
      <c r="U121" s="24">
        <f>32000</f>
        <v>32000</v>
      </c>
      <c r="V121" s="24"/>
      <c r="W121" s="24"/>
      <c r="X121" s="25" t="s">
        <v>71</v>
      </c>
      <c r="Y121" s="25"/>
      <c r="Z121" s="25"/>
      <c r="AA121" s="25"/>
      <c r="AB121" s="24">
        <f>32000</f>
        <v>32000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32000</f>
        <v>32000</v>
      </c>
      <c r="AU121" s="24"/>
      <c r="AV121" s="24"/>
      <c r="AW121" s="25" t="s">
        <v>71</v>
      </c>
      <c r="AX121" s="25"/>
      <c r="AY121" s="25" t="s">
        <v>71</v>
      </c>
      <c r="AZ121" s="25"/>
      <c r="BA121" s="25" t="s">
        <v>71</v>
      </c>
      <c r="BB121" s="25"/>
      <c r="BC121" s="25"/>
      <c r="BD121" s="25" t="s">
        <v>71</v>
      </c>
      <c r="BE121" s="25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5" t="s">
        <v>71</v>
      </c>
      <c r="BO121" s="25"/>
      <c r="BP121" s="25"/>
      <c r="BQ121" s="27" t="s">
        <v>71</v>
      </c>
    </row>
    <row r="122" spans="1:69" s="1" customFormat="1" ht="13.5" customHeight="1">
      <c r="A122" s="16" t="s">
        <v>270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220</v>
      </c>
      <c r="N122" s="23"/>
      <c r="O122" s="23"/>
      <c r="P122" s="31" t="s">
        <v>271</v>
      </c>
      <c r="Q122" s="31"/>
      <c r="R122" s="31"/>
      <c r="S122" s="31"/>
      <c r="T122" s="31"/>
      <c r="U122" s="24">
        <f>6257488.76</f>
        <v>6257488.76</v>
      </c>
      <c r="V122" s="24"/>
      <c r="W122" s="24"/>
      <c r="X122" s="25" t="s">
        <v>71</v>
      </c>
      <c r="Y122" s="25"/>
      <c r="Z122" s="25"/>
      <c r="AA122" s="25"/>
      <c r="AB122" s="24">
        <f>6257488.76</f>
        <v>6257488.76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6257488.76</f>
        <v>6257488.76</v>
      </c>
      <c r="AU122" s="24"/>
      <c r="AV122" s="24"/>
      <c r="AW122" s="25" t="s">
        <v>71</v>
      </c>
      <c r="AX122" s="25"/>
      <c r="AY122" s="24">
        <f>5595217.31</f>
        <v>5595217.31</v>
      </c>
      <c r="AZ122" s="24"/>
      <c r="BA122" s="25" t="s">
        <v>71</v>
      </c>
      <c r="BB122" s="25"/>
      <c r="BC122" s="25"/>
      <c r="BD122" s="24">
        <f>5595217.31</f>
        <v>5595217.31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5595217.31</f>
        <v>5595217.31</v>
      </c>
      <c r="BO122" s="24"/>
      <c r="BP122" s="24"/>
      <c r="BQ122" s="27" t="s">
        <v>71</v>
      </c>
    </row>
    <row r="123" spans="1:69" s="1" customFormat="1" ht="54.75" customHeight="1">
      <c r="A123" s="16" t="s">
        <v>225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220</v>
      </c>
      <c r="N123" s="23"/>
      <c r="O123" s="23"/>
      <c r="P123" s="31" t="s">
        <v>272</v>
      </c>
      <c r="Q123" s="31"/>
      <c r="R123" s="31"/>
      <c r="S123" s="31"/>
      <c r="T123" s="31"/>
      <c r="U123" s="24">
        <f>3694199</f>
        <v>3694199</v>
      </c>
      <c r="V123" s="24"/>
      <c r="W123" s="24"/>
      <c r="X123" s="25" t="s">
        <v>71</v>
      </c>
      <c r="Y123" s="25"/>
      <c r="Z123" s="25"/>
      <c r="AA123" s="25"/>
      <c r="AB123" s="24">
        <f>3694199</f>
        <v>3694199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3694199</f>
        <v>3694199</v>
      </c>
      <c r="AU123" s="24"/>
      <c r="AV123" s="24"/>
      <c r="AW123" s="25" t="s">
        <v>71</v>
      </c>
      <c r="AX123" s="25"/>
      <c r="AY123" s="24">
        <f>3615041.07</f>
        <v>3615041.07</v>
      </c>
      <c r="AZ123" s="24"/>
      <c r="BA123" s="25" t="s">
        <v>71</v>
      </c>
      <c r="BB123" s="25"/>
      <c r="BC123" s="25"/>
      <c r="BD123" s="24">
        <f>3615041.07</f>
        <v>3615041.07</v>
      </c>
      <c r="BE123" s="24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4">
        <f>3615041.07</f>
        <v>3615041.07</v>
      </c>
      <c r="BO123" s="24"/>
      <c r="BP123" s="24"/>
      <c r="BQ123" s="27" t="s">
        <v>71</v>
      </c>
    </row>
    <row r="124" spans="1:69" s="1" customFormat="1" ht="13.5" customHeight="1">
      <c r="A124" s="16" t="s">
        <v>273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220</v>
      </c>
      <c r="N124" s="23"/>
      <c r="O124" s="23"/>
      <c r="P124" s="31" t="s">
        <v>274</v>
      </c>
      <c r="Q124" s="31"/>
      <c r="R124" s="31"/>
      <c r="S124" s="31"/>
      <c r="T124" s="31"/>
      <c r="U124" s="24">
        <f>3694199</f>
        <v>3694199</v>
      </c>
      <c r="V124" s="24"/>
      <c r="W124" s="24"/>
      <c r="X124" s="25" t="s">
        <v>71</v>
      </c>
      <c r="Y124" s="25"/>
      <c r="Z124" s="25"/>
      <c r="AA124" s="25"/>
      <c r="AB124" s="24">
        <f>3694199</f>
        <v>3694199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3694199</f>
        <v>3694199</v>
      </c>
      <c r="AU124" s="24"/>
      <c r="AV124" s="24"/>
      <c r="AW124" s="25" t="s">
        <v>71</v>
      </c>
      <c r="AX124" s="25"/>
      <c r="AY124" s="24">
        <f>3615041.07</f>
        <v>3615041.07</v>
      </c>
      <c r="AZ124" s="24"/>
      <c r="BA124" s="25" t="s">
        <v>71</v>
      </c>
      <c r="BB124" s="25"/>
      <c r="BC124" s="25"/>
      <c r="BD124" s="24">
        <f>3615041.07</f>
        <v>3615041.07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3615041.07</f>
        <v>3615041.07</v>
      </c>
      <c r="BO124" s="24"/>
      <c r="BP124" s="24"/>
      <c r="BQ124" s="27" t="s">
        <v>71</v>
      </c>
    </row>
    <row r="125" spans="1:69" s="1" customFormat="1" ht="13.5" customHeight="1">
      <c r="A125" s="16" t="s">
        <v>275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220</v>
      </c>
      <c r="N125" s="23"/>
      <c r="O125" s="23"/>
      <c r="P125" s="31" t="s">
        <v>276</v>
      </c>
      <c r="Q125" s="31"/>
      <c r="R125" s="31"/>
      <c r="S125" s="31"/>
      <c r="T125" s="31"/>
      <c r="U125" s="24">
        <f>2841663.91</f>
        <v>2841663.91</v>
      </c>
      <c r="V125" s="24"/>
      <c r="W125" s="24"/>
      <c r="X125" s="25" t="s">
        <v>71</v>
      </c>
      <c r="Y125" s="25"/>
      <c r="Z125" s="25"/>
      <c r="AA125" s="25"/>
      <c r="AB125" s="24">
        <f>2841663.91</f>
        <v>2841663.91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2841663.91</f>
        <v>2841663.91</v>
      </c>
      <c r="AU125" s="24"/>
      <c r="AV125" s="24"/>
      <c r="AW125" s="25" t="s">
        <v>71</v>
      </c>
      <c r="AX125" s="25"/>
      <c r="AY125" s="24">
        <f>2817166.07</f>
        <v>2817166.07</v>
      </c>
      <c r="AZ125" s="24"/>
      <c r="BA125" s="25" t="s">
        <v>71</v>
      </c>
      <c r="BB125" s="25"/>
      <c r="BC125" s="25"/>
      <c r="BD125" s="24">
        <f>2817166.07</f>
        <v>2817166.07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2817166.07</f>
        <v>2817166.07</v>
      </c>
      <c r="BO125" s="24"/>
      <c r="BP125" s="24"/>
      <c r="BQ125" s="27" t="s">
        <v>71</v>
      </c>
    </row>
    <row r="126" spans="1:69" s="1" customFormat="1" ht="24" customHeight="1">
      <c r="A126" s="16" t="s">
        <v>277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220</v>
      </c>
      <c r="N126" s="23"/>
      <c r="O126" s="23"/>
      <c r="P126" s="31" t="s">
        <v>278</v>
      </c>
      <c r="Q126" s="31"/>
      <c r="R126" s="31"/>
      <c r="S126" s="31"/>
      <c r="T126" s="31"/>
      <c r="U126" s="24">
        <f>560</f>
        <v>560</v>
      </c>
      <c r="V126" s="24"/>
      <c r="W126" s="24"/>
      <c r="X126" s="25" t="s">
        <v>71</v>
      </c>
      <c r="Y126" s="25"/>
      <c r="Z126" s="25"/>
      <c r="AA126" s="25"/>
      <c r="AB126" s="24">
        <f>560</f>
        <v>560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560</f>
        <v>560</v>
      </c>
      <c r="AU126" s="24"/>
      <c r="AV126" s="24"/>
      <c r="AW126" s="25" t="s">
        <v>71</v>
      </c>
      <c r="AX126" s="25"/>
      <c r="AY126" s="24">
        <f>560</f>
        <v>560</v>
      </c>
      <c r="AZ126" s="24"/>
      <c r="BA126" s="25" t="s">
        <v>71</v>
      </c>
      <c r="BB126" s="25"/>
      <c r="BC126" s="25"/>
      <c r="BD126" s="24">
        <f>560</f>
        <v>560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560</f>
        <v>560</v>
      </c>
      <c r="BO126" s="24"/>
      <c r="BP126" s="24"/>
      <c r="BQ126" s="27" t="s">
        <v>71</v>
      </c>
    </row>
    <row r="127" spans="1:69" s="1" customFormat="1" ht="33.75" customHeight="1">
      <c r="A127" s="16" t="s">
        <v>279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220</v>
      </c>
      <c r="N127" s="23"/>
      <c r="O127" s="23"/>
      <c r="P127" s="31" t="s">
        <v>280</v>
      </c>
      <c r="Q127" s="31"/>
      <c r="R127" s="31"/>
      <c r="S127" s="31"/>
      <c r="T127" s="31"/>
      <c r="U127" s="24">
        <f>851975.09</f>
        <v>851975.09</v>
      </c>
      <c r="V127" s="24"/>
      <c r="W127" s="24"/>
      <c r="X127" s="25" t="s">
        <v>71</v>
      </c>
      <c r="Y127" s="25"/>
      <c r="Z127" s="25"/>
      <c r="AA127" s="25"/>
      <c r="AB127" s="24">
        <f>851975.09</f>
        <v>851975.09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851975.09</f>
        <v>851975.09</v>
      </c>
      <c r="AU127" s="24"/>
      <c r="AV127" s="24"/>
      <c r="AW127" s="25" t="s">
        <v>71</v>
      </c>
      <c r="AX127" s="25"/>
      <c r="AY127" s="24">
        <f>797315</f>
        <v>797315</v>
      </c>
      <c r="AZ127" s="24"/>
      <c r="BA127" s="25" t="s">
        <v>71</v>
      </c>
      <c r="BB127" s="25"/>
      <c r="BC127" s="25"/>
      <c r="BD127" s="24">
        <f>797315</f>
        <v>797315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797315</f>
        <v>797315</v>
      </c>
      <c r="BO127" s="24"/>
      <c r="BP127" s="24"/>
      <c r="BQ127" s="27" t="s">
        <v>71</v>
      </c>
    </row>
    <row r="128" spans="1:69" s="1" customFormat="1" ht="24" customHeight="1">
      <c r="A128" s="16" t="s">
        <v>239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220</v>
      </c>
      <c r="N128" s="23"/>
      <c r="O128" s="23"/>
      <c r="P128" s="31" t="s">
        <v>281</v>
      </c>
      <c r="Q128" s="31"/>
      <c r="R128" s="31"/>
      <c r="S128" s="31"/>
      <c r="T128" s="31"/>
      <c r="U128" s="24">
        <f>2511488</f>
        <v>2511488</v>
      </c>
      <c r="V128" s="24"/>
      <c r="W128" s="24"/>
      <c r="X128" s="25" t="s">
        <v>71</v>
      </c>
      <c r="Y128" s="25"/>
      <c r="Z128" s="25"/>
      <c r="AA128" s="25"/>
      <c r="AB128" s="24">
        <f>2511488</f>
        <v>2511488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2511488</f>
        <v>2511488</v>
      </c>
      <c r="AU128" s="24"/>
      <c r="AV128" s="24"/>
      <c r="AW128" s="25" t="s">
        <v>71</v>
      </c>
      <c r="AX128" s="25"/>
      <c r="AY128" s="24">
        <f>1936201.86</f>
        <v>1936201.86</v>
      </c>
      <c r="AZ128" s="24"/>
      <c r="BA128" s="25" t="s">
        <v>71</v>
      </c>
      <c r="BB128" s="25"/>
      <c r="BC128" s="25"/>
      <c r="BD128" s="24">
        <f>1936201.86</f>
        <v>1936201.86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1936201.86</f>
        <v>1936201.86</v>
      </c>
      <c r="BO128" s="24"/>
      <c r="BP128" s="24"/>
      <c r="BQ128" s="27" t="s">
        <v>71</v>
      </c>
    </row>
    <row r="129" spans="1:69" s="1" customFormat="1" ht="24" customHeight="1">
      <c r="A129" s="16" t="s">
        <v>241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220</v>
      </c>
      <c r="N129" s="23"/>
      <c r="O129" s="23"/>
      <c r="P129" s="31" t="s">
        <v>282</v>
      </c>
      <c r="Q129" s="31"/>
      <c r="R129" s="31"/>
      <c r="S129" s="31"/>
      <c r="T129" s="31"/>
      <c r="U129" s="24">
        <f>2511488</f>
        <v>2511488</v>
      </c>
      <c r="V129" s="24"/>
      <c r="W129" s="24"/>
      <c r="X129" s="25" t="s">
        <v>71</v>
      </c>
      <c r="Y129" s="25"/>
      <c r="Z129" s="25"/>
      <c r="AA129" s="25"/>
      <c r="AB129" s="24">
        <f>2511488</f>
        <v>2511488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2511488</f>
        <v>2511488</v>
      </c>
      <c r="AU129" s="24"/>
      <c r="AV129" s="24"/>
      <c r="AW129" s="25" t="s">
        <v>71</v>
      </c>
      <c r="AX129" s="25"/>
      <c r="AY129" s="24">
        <f>1936201.86</f>
        <v>1936201.86</v>
      </c>
      <c r="AZ129" s="24"/>
      <c r="BA129" s="25" t="s">
        <v>71</v>
      </c>
      <c r="BB129" s="25"/>
      <c r="BC129" s="25"/>
      <c r="BD129" s="24">
        <f>1936201.86</f>
        <v>1936201.86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1936201.86</f>
        <v>1936201.86</v>
      </c>
      <c r="BO129" s="24"/>
      <c r="BP129" s="24"/>
      <c r="BQ129" s="27" t="s">
        <v>71</v>
      </c>
    </row>
    <row r="130" spans="1:69" s="1" customFormat="1" ht="13.5" customHeight="1">
      <c r="A130" s="16" t="s">
        <v>243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220</v>
      </c>
      <c r="N130" s="23"/>
      <c r="O130" s="23"/>
      <c r="P130" s="31" t="s">
        <v>283</v>
      </c>
      <c r="Q130" s="31"/>
      <c r="R130" s="31"/>
      <c r="S130" s="31"/>
      <c r="T130" s="31"/>
      <c r="U130" s="24">
        <f>2389488</f>
        <v>2389488</v>
      </c>
      <c r="V130" s="24"/>
      <c r="W130" s="24"/>
      <c r="X130" s="25" t="s">
        <v>71</v>
      </c>
      <c r="Y130" s="25"/>
      <c r="Z130" s="25"/>
      <c r="AA130" s="25"/>
      <c r="AB130" s="24">
        <f>2389488</f>
        <v>2389488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2389488</f>
        <v>2389488</v>
      </c>
      <c r="AU130" s="24"/>
      <c r="AV130" s="24"/>
      <c r="AW130" s="25" t="s">
        <v>71</v>
      </c>
      <c r="AX130" s="25"/>
      <c r="AY130" s="24">
        <f>1840399.06</f>
        <v>1840399.06</v>
      </c>
      <c r="AZ130" s="24"/>
      <c r="BA130" s="25" t="s">
        <v>71</v>
      </c>
      <c r="BB130" s="25"/>
      <c r="BC130" s="25"/>
      <c r="BD130" s="24">
        <f>1840399.06</f>
        <v>1840399.06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1840399.06</f>
        <v>1840399.06</v>
      </c>
      <c r="BO130" s="24"/>
      <c r="BP130" s="24"/>
      <c r="BQ130" s="27" t="s">
        <v>71</v>
      </c>
    </row>
    <row r="131" spans="1:69" s="1" customFormat="1" ht="13.5" customHeight="1">
      <c r="A131" s="16" t="s">
        <v>245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220</v>
      </c>
      <c r="N131" s="23"/>
      <c r="O131" s="23"/>
      <c r="P131" s="31" t="s">
        <v>284</v>
      </c>
      <c r="Q131" s="31"/>
      <c r="R131" s="31"/>
      <c r="S131" s="31"/>
      <c r="T131" s="31"/>
      <c r="U131" s="24">
        <f>122000</f>
        <v>122000</v>
      </c>
      <c r="V131" s="24"/>
      <c r="W131" s="24"/>
      <c r="X131" s="25" t="s">
        <v>71</v>
      </c>
      <c r="Y131" s="25"/>
      <c r="Z131" s="25"/>
      <c r="AA131" s="25"/>
      <c r="AB131" s="24">
        <f>122000</f>
        <v>122000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122000</f>
        <v>122000</v>
      </c>
      <c r="AU131" s="24"/>
      <c r="AV131" s="24"/>
      <c r="AW131" s="25" t="s">
        <v>71</v>
      </c>
      <c r="AX131" s="25"/>
      <c r="AY131" s="24">
        <f>95802.8</f>
        <v>95802.8</v>
      </c>
      <c r="AZ131" s="24"/>
      <c r="BA131" s="25" t="s">
        <v>71</v>
      </c>
      <c r="BB131" s="25"/>
      <c r="BC131" s="25"/>
      <c r="BD131" s="24">
        <f>95802.8</f>
        <v>95802.8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95802.8</f>
        <v>95802.8</v>
      </c>
      <c r="BO131" s="24"/>
      <c r="BP131" s="24"/>
      <c r="BQ131" s="27" t="s">
        <v>71</v>
      </c>
    </row>
    <row r="132" spans="1:69" s="1" customFormat="1" ht="13.5" customHeight="1">
      <c r="A132" s="16" t="s">
        <v>251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220</v>
      </c>
      <c r="N132" s="23"/>
      <c r="O132" s="23"/>
      <c r="P132" s="31" t="s">
        <v>285</v>
      </c>
      <c r="Q132" s="31"/>
      <c r="R132" s="31"/>
      <c r="S132" s="31"/>
      <c r="T132" s="31"/>
      <c r="U132" s="24">
        <f>51801.76</f>
        <v>51801.76</v>
      </c>
      <c r="V132" s="24"/>
      <c r="W132" s="24"/>
      <c r="X132" s="25" t="s">
        <v>71</v>
      </c>
      <c r="Y132" s="25"/>
      <c r="Z132" s="25"/>
      <c r="AA132" s="25"/>
      <c r="AB132" s="24">
        <f>51801.76</f>
        <v>51801.76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51801.76</f>
        <v>51801.76</v>
      </c>
      <c r="AU132" s="24"/>
      <c r="AV132" s="24"/>
      <c r="AW132" s="25" t="s">
        <v>71</v>
      </c>
      <c r="AX132" s="25"/>
      <c r="AY132" s="24">
        <f>43974.38</f>
        <v>43974.38</v>
      </c>
      <c r="AZ132" s="24"/>
      <c r="BA132" s="25" t="s">
        <v>71</v>
      </c>
      <c r="BB132" s="25"/>
      <c r="BC132" s="25"/>
      <c r="BD132" s="24">
        <f>43974.38</f>
        <v>43974.38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43974.38</f>
        <v>43974.38</v>
      </c>
      <c r="BO132" s="24"/>
      <c r="BP132" s="24"/>
      <c r="BQ132" s="27" t="s">
        <v>71</v>
      </c>
    </row>
    <row r="133" spans="1:69" s="1" customFormat="1" ht="13.5" customHeight="1">
      <c r="A133" s="16" t="s">
        <v>253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220</v>
      </c>
      <c r="N133" s="23"/>
      <c r="O133" s="23"/>
      <c r="P133" s="31" t="s">
        <v>286</v>
      </c>
      <c r="Q133" s="31"/>
      <c r="R133" s="31"/>
      <c r="S133" s="31"/>
      <c r="T133" s="31"/>
      <c r="U133" s="24">
        <f>51801.76</f>
        <v>51801.76</v>
      </c>
      <c r="V133" s="24"/>
      <c r="W133" s="24"/>
      <c r="X133" s="25" t="s">
        <v>71</v>
      </c>
      <c r="Y133" s="25"/>
      <c r="Z133" s="25"/>
      <c r="AA133" s="25"/>
      <c r="AB133" s="24">
        <f>51801.76</f>
        <v>51801.76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51801.76</f>
        <v>51801.76</v>
      </c>
      <c r="AU133" s="24"/>
      <c r="AV133" s="24"/>
      <c r="AW133" s="25" t="s">
        <v>71</v>
      </c>
      <c r="AX133" s="25"/>
      <c r="AY133" s="24">
        <f>43974.38</f>
        <v>43974.38</v>
      </c>
      <c r="AZ133" s="24"/>
      <c r="BA133" s="25" t="s">
        <v>71</v>
      </c>
      <c r="BB133" s="25"/>
      <c r="BC133" s="25"/>
      <c r="BD133" s="24">
        <f>43974.38</f>
        <v>43974.38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43974.38</f>
        <v>43974.38</v>
      </c>
      <c r="BO133" s="24"/>
      <c r="BP133" s="24"/>
      <c r="BQ133" s="27" t="s">
        <v>71</v>
      </c>
    </row>
    <row r="134" spans="1:69" s="1" customFormat="1" ht="13.5" customHeight="1">
      <c r="A134" s="16" t="s">
        <v>257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220</v>
      </c>
      <c r="N134" s="23"/>
      <c r="O134" s="23"/>
      <c r="P134" s="31" t="s">
        <v>287</v>
      </c>
      <c r="Q134" s="31"/>
      <c r="R134" s="31"/>
      <c r="S134" s="31"/>
      <c r="T134" s="31"/>
      <c r="U134" s="24">
        <f>10527.38</f>
        <v>10527.38</v>
      </c>
      <c r="V134" s="24"/>
      <c r="W134" s="24"/>
      <c r="X134" s="25" t="s">
        <v>71</v>
      </c>
      <c r="Y134" s="25"/>
      <c r="Z134" s="25"/>
      <c r="AA134" s="25"/>
      <c r="AB134" s="24">
        <f>10527.38</f>
        <v>10527.38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10527.38</f>
        <v>10527.38</v>
      </c>
      <c r="AU134" s="24"/>
      <c r="AV134" s="24"/>
      <c r="AW134" s="25" t="s">
        <v>71</v>
      </c>
      <c r="AX134" s="25"/>
      <c r="AY134" s="24">
        <f>2800</f>
        <v>2800</v>
      </c>
      <c r="AZ134" s="24"/>
      <c r="BA134" s="25" t="s">
        <v>71</v>
      </c>
      <c r="BB134" s="25"/>
      <c r="BC134" s="25"/>
      <c r="BD134" s="24">
        <f>2800</f>
        <v>2800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2800</f>
        <v>2800</v>
      </c>
      <c r="BO134" s="24"/>
      <c r="BP134" s="24"/>
      <c r="BQ134" s="27" t="s">
        <v>71</v>
      </c>
    </row>
    <row r="135" spans="1:69" s="1" customFormat="1" ht="13.5" customHeight="1">
      <c r="A135" s="16" t="s">
        <v>259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220</v>
      </c>
      <c r="N135" s="23"/>
      <c r="O135" s="23"/>
      <c r="P135" s="31" t="s">
        <v>288</v>
      </c>
      <c r="Q135" s="31"/>
      <c r="R135" s="31"/>
      <c r="S135" s="31"/>
      <c r="T135" s="31"/>
      <c r="U135" s="24">
        <f>41274.38</f>
        <v>41274.38</v>
      </c>
      <c r="V135" s="24"/>
      <c r="W135" s="24"/>
      <c r="X135" s="25" t="s">
        <v>71</v>
      </c>
      <c r="Y135" s="25"/>
      <c r="Z135" s="25"/>
      <c r="AA135" s="25"/>
      <c r="AB135" s="24">
        <f>41274.38</f>
        <v>41274.38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41274.38</f>
        <v>41274.38</v>
      </c>
      <c r="AU135" s="24"/>
      <c r="AV135" s="24"/>
      <c r="AW135" s="25" t="s">
        <v>71</v>
      </c>
      <c r="AX135" s="25"/>
      <c r="AY135" s="24">
        <f>41174.38</f>
        <v>41174.38</v>
      </c>
      <c r="AZ135" s="24"/>
      <c r="BA135" s="25" t="s">
        <v>71</v>
      </c>
      <c r="BB135" s="25"/>
      <c r="BC135" s="25"/>
      <c r="BD135" s="24">
        <f>41174.38</f>
        <v>41174.38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41174.38</f>
        <v>41174.38</v>
      </c>
      <c r="BO135" s="24"/>
      <c r="BP135" s="24"/>
      <c r="BQ135" s="27" t="s">
        <v>71</v>
      </c>
    </row>
    <row r="136" spans="1:69" s="1" customFormat="1" ht="13.5" customHeight="1">
      <c r="A136" s="16" t="s">
        <v>289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220</v>
      </c>
      <c r="N136" s="23"/>
      <c r="O136" s="23"/>
      <c r="P136" s="31" t="s">
        <v>290</v>
      </c>
      <c r="Q136" s="31"/>
      <c r="R136" s="31"/>
      <c r="S136" s="31"/>
      <c r="T136" s="31"/>
      <c r="U136" s="24">
        <f>238636</f>
        <v>238636</v>
      </c>
      <c r="V136" s="24"/>
      <c r="W136" s="24"/>
      <c r="X136" s="25" t="s">
        <v>71</v>
      </c>
      <c r="Y136" s="25"/>
      <c r="Z136" s="25"/>
      <c r="AA136" s="25"/>
      <c r="AB136" s="24">
        <f>238636</f>
        <v>238636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238636</f>
        <v>238636</v>
      </c>
      <c r="AU136" s="24"/>
      <c r="AV136" s="24"/>
      <c r="AW136" s="25" t="s">
        <v>71</v>
      </c>
      <c r="AX136" s="25"/>
      <c r="AY136" s="24">
        <f>238636</f>
        <v>238636</v>
      </c>
      <c r="AZ136" s="24"/>
      <c r="BA136" s="25" t="s">
        <v>71</v>
      </c>
      <c r="BB136" s="25"/>
      <c r="BC136" s="25"/>
      <c r="BD136" s="24">
        <f>238636</f>
        <v>238636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238636</f>
        <v>238636</v>
      </c>
      <c r="BO136" s="24"/>
      <c r="BP136" s="24"/>
      <c r="BQ136" s="27" t="s">
        <v>71</v>
      </c>
    </row>
    <row r="137" spans="1:69" s="1" customFormat="1" ht="13.5" customHeight="1">
      <c r="A137" s="16" t="s">
        <v>291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220</v>
      </c>
      <c r="N137" s="23"/>
      <c r="O137" s="23"/>
      <c r="P137" s="31" t="s">
        <v>292</v>
      </c>
      <c r="Q137" s="31"/>
      <c r="R137" s="31"/>
      <c r="S137" s="31"/>
      <c r="T137" s="31"/>
      <c r="U137" s="24">
        <f>238636</f>
        <v>238636</v>
      </c>
      <c r="V137" s="24"/>
      <c r="W137" s="24"/>
      <c r="X137" s="25" t="s">
        <v>71</v>
      </c>
      <c r="Y137" s="25"/>
      <c r="Z137" s="25"/>
      <c r="AA137" s="25"/>
      <c r="AB137" s="24">
        <f>238636</f>
        <v>238636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238636</f>
        <v>238636</v>
      </c>
      <c r="AU137" s="24"/>
      <c r="AV137" s="24"/>
      <c r="AW137" s="25" t="s">
        <v>71</v>
      </c>
      <c r="AX137" s="25"/>
      <c r="AY137" s="24">
        <f>238636</f>
        <v>238636</v>
      </c>
      <c r="AZ137" s="24"/>
      <c r="BA137" s="25" t="s">
        <v>71</v>
      </c>
      <c r="BB137" s="25"/>
      <c r="BC137" s="25"/>
      <c r="BD137" s="24">
        <f>238636</f>
        <v>238636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238636</f>
        <v>238636</v>
      </c>
      <c r="BO137" s="24"/>
      <c r="BP137" s="24"/>
      <c r="BQ137" s="27" t="s">
        <v>71</v>
      </c>
    </row>
    <row r="138" spans="1:69" s="1" customFormat="1" ht="54.75" customHeight="1">
      <c r="A138" s="16" t="s">
        <v>225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220</v>
      </c>
      <c r="N138" s="23"/>
      <c r="O138" s="23"/>
      <c r="P138" s="31" t="s">
        <v>293</v>
      </c>
      <c r="Q138" s="31"/>
      <c r="R138" s="31"/>
      <c r="S138" s="31"/>
      <c r="T138" s="31"/>
      <c r="U138" s="24">
        <f>217181.92</f>
        <v>217181.92</v>
      </c>
      <c r="V138" s="24"/>
      <c r="W138" s="24"/>
      <c r="X138" s="25" t="s">
        <v>71</v>
      </c>
      <c r="Y138" s="25"/>
      <c r="Z138" s="25"/>
      <c r="AA138" s="25"/>
      <c r="AB138" s="24">
        <f>217181.92</f>
        <v>217181.92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217181.92</f>
        <v>217181.92</v>
      </c>
      <c r="AU138" s="24"/>
      <c r="AV138" s="24"/>
      <c r="AW138" s="25" t="s">
        <v>71</v>
      </c>
      <c r="AX138" s="25"/>
      <c r="AY138" s="24">
        <f>217181.92</f>
        <v>217181.92</v>
      </c>
      <c r="AZ138" s="24"/>
      <c r="BA138" s="25" t="s">
        <v>71</v>
      </c>
      <c r="BB138" s="25"/>
      <c r="BC138" s="25"/>
      <c r="BD138" s="24">
        <f>217181.92</f>
        <v>217181.92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217181.92</f>
        <v>217181.92</v>
      </c>
      <c r="BO138" s="24"/>
      <c r="BP138" s="24"/>
      <c r="BQ138" s="27" t="s">
        <v>71</v>
      </c>
    </row>
    <row r="139" spans="1:69" s="1" customFormat="1" ht="24" customHeight="1">
      <c r="A139" s="16" t="s">
        <v>227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220</v>
      </c>
      <c r="N139" s="23"/>
      <c r="O139" s="23"/>
      <c r="P139" s="31" t="s">
        <v>294</v>
      </c>
      <c r="Q139" s="31"/>
      <c r="R139" s="31"/>
      <c r="S139" s="31"/>
      <c r="T139" s="31"/>
      <c r="U139" s="24">
        <f>217181.92</f>
        <v>217181.92</v>
      </c>
      <c r="V139" s="24"/>
      <c r="W139" s="24"/>
      <c r="X139" s="25" t="s">
        <v>71</v>
      </c>
      <c r="Y139" s="25"/>
      <c r="Z139" s="25"/>
      <c r="AA139" s="25"/>
      <c r="AB139" s="24">
        <f>217181.92</f>
        <v>217181.92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217181.92</f>
        <v>217181.92</v>
      </c>
      <c r="AU139" s="24"/>
      <c r="AV139" s="24"/>
      <c r="AW139" s="25" t="s">
        <v>71</v>
      </c>
      <c r="AX139" s="25"/>
      <c r="AY139" s="24">
        <f>217181.92</f>
        <v>217181.92</v>
      </c>
      <c r="AZ139" s="24"/>
      <c r="BA139" s="25" t="s">
        <v>71</v>
      </c>
      <c r="BB139" s="25"/>
      <c r="BC139" s="25"/>
      <c r="BD139" s="24">
        <f>217181.92</f>
        <v>217181.92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217181.92</f>
        <v>217181.92</v>
      </c>
      <c r="BO139" s="24"/>
      <c r="BP139" s="24"/>
      <c r="BQ139" s="27" t="s">
        <v>71</v>
      </c>
    </row>
    <row r="140" spans="1:69" s="1" customFormat="1" ht="24" customHeight="1">
      <c r="A140" s="16" t="s">
        <v>229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220</v>
      </c>
      <c r="N140" s="23"/>
      <c r="O140" s="23"/>
      <c r="P140" s="31" t="s">
        <v>295</v>
      </c>
      <c r="Q140" s="31"/>
      <c r="R140" s="31"/>
      <c r="S140" s="31"/>
      <c r="T140" s="31"/>
      <c r="U140" s="24">
        <f>168281.92</f>
        <v>168281.92</v>
      </c>
      <c r="V140" s="24"/>
      <c r="W140" s="24"/>
      <c r="X140" s="25" t="s">
        <v>71</v>
      </c>
      <c r="Y140" s="25"/>
      <c r="Z140" s="25"/>
      <c r="AA140" s="25"/>
      <c r="AB140" s="24">
        <f>168281.92</f>
        <v>168281.92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168281.92</f>
        <v>168281.92</v>
      </c>
      <c r="AU140" s="24"/>
      <c r="AV140" s="24"/>
      <c r="AW140" s="25" t="s">
        <v>71</v>
      </c>
      <c r="AX140" s="25"/>
      <c r="AY140" s="24">
        <f>168281.92</f>
        <v>168281.92</v>
      </c>
      <c r="AZ140" s="24"/>
      <c r="BA140" s="25" t="s">
        <v>71</v>
      </c>
      <c r="BB140" s="25"/>
      <c r="BC140" s="25"/>
      <c r="BD140" s="24">
        <f>168281.92</f>
        <v>168281.92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168281.92</f>
        <v>168281.92</v>
      </c>
      <c r="BO140" s="24"/>
      <c r="BP140" s="24"/>
      <c r="BQ140" s="27" t="s">
        <v>71</v>
      </c>
    </row>
    <row r="141" spans="1:69" s="1" customFormat="1" ht="33.75" customHeight="1">
      <c r="A141" s="16" t="s">
        <v>231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220</v>
      </c>
      <c r="N141" s="23"/>
      <c r="O141" s="23"/>
      <c r="P141" s="31" t="s">
        <v>296</v>
      </c>
      <c r="Q141" s="31"/>
      <c r="R141" s="31"/>
      <c r="S141" s="31"/>
      <c r="T141" s="31"/>
      <c r="U141" s="24">
        <f>48900</f>
        <v>48900</v>
      </c>
      <c r="V141" s="24"/>
      <c r="W141" s="24"/>
      <c r="X141" s="25" t="s">
        <v>71</v>
      </c>
      <c r="Y141" s="25"/>
      <c r="Z141" s="25"/>
      <c r="AA141" s="25"/>
      <c r="AB141" s="24">
        <f>48900</f>
        <v>48900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48900</f>
        <v>48900</v>
      </c>
      <c r="AU141" s="24"/>
      <c r="AV141" s="24"/>
      <c r="AW141" s="25" t="s">
        <v>71</v>
      </c>
      <c r="AX141" s="25"/>
      <c r="AY141" s="24">
        <f>48900</f>
        <v>48900</v>
      </c>
      <c r="AZ141" s="24"/>
      <c r="BA141" s="25" t="s">
        <v>71</v>
      </c>
      <c r="BB141" s="25"/>
      <c r="BC141" s="25"/>
      <c r="BD141" s="24">
        <f>48900</f>
        <v>48900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48900</f>
        <v>48900</v>
      </c>
      <c r="BO141" s="24"/>
      <c r="BP141" s="24"/>
      <c r="BQ141" s="27" t="s">
        <v>71</v>
      </c>
    </row>
    <row r="142" spans="1:69" s="1" customFormat="1" ht="24" customHeight="1">
      <c r="A142" s="16" t="s">
        <v>239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220</v>
      </c>
      <c r="N142" s="23"/>
      <c r="O142" s="23"/>
      <c r="P142" s="31" t="s">
        <v>297</v>
      </c>
      <c r="Q142" s="31"/>
      <c r="R142" s="31"/>
      <c r="S142" s="31"/>
      <c r="T142" s="31"/>
      <c r="U142" s="24">
        <f>21454.08</f>
        <v>21454.08</v>
      </c>
      <c r="V142" s="24"/>
      <c r="W142" s="24"/>
      <c r="X142" s="25" t="s">
        <v>71</v>
      </c>
      <c r="Y142" s="25"/>
      <c r="Z142" s="25"/>
      <c r="AA142" s="25"/>
      <c r="AB142" s="24">
        <f>21454.08</f>
        <v>21454.08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21454.08</f>
        <v>21454.08</v>
      </c>
      <c r="AU142" s="24"/>
      <c r="AV142" s="24"/>
      <c r="AW142" s="25" t="s">
        <v>71</v>
      </c>
      <c r="AX142" s="25"/>
      <c r="AY142" s="24">
        <f>21454.08</f>
        <v>21454.08</v>
      </c>
      <c r="AZ142" s="24"/>
      <c r="BA142" s="25" t="s">
        <v>71</v>
      </c>
      <c r="BB142" s="25"/>
      <c r="BC142" s="25"/>
      <c r="BD142" s="24">
        <f>21454.08</f>
        <v>21454.08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21454.08</f>
        <v>21454.08</v>
      </c>
      <c r="BO142" s="24"/>
      <c r="BP142" s="24"/>
      <c r="BQ142" s="27" t="s">
        <v>71</v>
      </c>
    </row>
    <row r="143" spans="1:69" s="1" customFormat="1" ht="24" customHeight="1">
      <c r="A143" s="16" t="s">
        <v>241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220</v>
      </c>
      <c r="N143" s="23"/>
      <c r="O143" s="23"/>
      <c r="P143" s="31" t="s">
        <v>298</v>
      </c>
      <c r="Q143" s="31"/>
      <c r="R143" s="31"/>
      <c r="S143" s="31"/>
      <c r="T143" s="31"/>
      <c r="U143" s="24">
        <f>21454.08</f>
        <v>21454.08</v>
      </c>
      <c r="V143" s="24"/>
      <c r="W143" s="24"/>
      <c r="X143" s="25" t="s">
        <v>71</v>
      </c>
      <c r="Y143" s="25"/>
      <c r="Z143" s="25"/>
      <c r="AA143" s="25"/>
      <c r="AB143" s="24">
        <f>21454.08</f>
        <v>21454.08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21454.08</f>
        <v>21454.08</v>
      </c>
      <c r="AU143" s="24"/>
      <c r="AV143" s="24"/>
      <c r="AW143" s="25" t="s">
        <v>71</v>
      </c>
      <c r="AX143" s="25"/>
      <c r="AY143" s="24">
        <f>21454.08</f>
        <v>21454.08</v>
      </c>
      <c r="AZ143" s="24"/>
      <c r="BA143" s="25" t="s">
        <v>71</v>
      </c>
      <c r="BB143" s="25"/>
      <c r="BC143" s="25"/>
      <c r="BD143" s="24">
        <f>21454.08</f>
        <v>21454.08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21454.08</f>
        <v>21454.08</v>
      </c>
      <c r="BO143" s="24"/>
      <c r="BP143" s="24"/>
      <c r="BQ143" s="27" t="s">
        <v>71</v>
      </c>
    </row>
    <row r="144" spans="1:69" s="1" customFormat="1" ht="13.5" customHeight="1">
      <c r="A144" s="16" t="s">
        <v>243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220</v>
      </c>
      <c r="N144" s="23"/>
      <c r="O144" s="23"/>
      <c r="P144" s="31" t="s">
        <v>299</v>
      </c>
      <c r="Q144" s="31"/>
      <c r="R144" s="31"/>
      <c r="S144" s="31"/>
      <c r="T144" s="31"/>
      <c r="U144" s="24">
        <f>21454.08</f>
        <v>21454.08</v>
      </c>
      <c r="V144" s="24"/>
      <c r="W144" s="24"/>
      <c r="X144" s="25" t="s">
        <v>71</v>
      </c>
      <c r="Y144" s="25"/>
      <c r="Z144" s="25"/>
      <c r="AA144" s="25"/>
      <c r="AB144" s="24">
        <f>21454.08</f>
        <v>21454.08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21454.08</f>
        <v>21454.08</v>
      </c>
      <c r="AU144" s="24"/>
      <c r="AV144" s="24"/>
      <c r="AW144" s="25" t="s">
        <v>71</v>
      </c>
      <c r="AX144" s="25"/>
      <c r="AY144" s="24">
        <f>21454.08</f>
        <v>21454.08</v>
      </c>
      <c r="AZ144" s="24"/>
      <c r="BA144" s="25" t="s">
        <v>71</v>
      </c>
      <c r="BB144" s="25"/>
      <c r="BC144" s="25"/>
      <c r="BD144" s="24">
        <f>21454.08</f>
        <v>21454.08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21454.08</f>
        <v>21454.08</v>
      </c>
      <c r="BO144" s="24"/>
      <c r="BP144" s="24"/>
      <c r="BQ144" s="27" t="s">
        <v>71</v>
      </c>
    </row>
    <row r="145" spans="1:69" s="1" customFormat="1" ht="24" customHeight="1">
      <c r="A145" s="16" t="s">
        <v>300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220</v>
      </c>
      <c r="N145" s="23"/>
      <c r="O145" s="23"/>
      <c r="P145" s="31" t="s">
        <v>301</v>
      </c>
      <c r="Q145" s="31"/>
      <c r="R145" s="31"/>
      <c r="S145" s="31"/>
      <c r="T145" s="31"/>
      <c r="U145" s="24">
        <f>650000</f>
        <v>650000</v>
      </c>
      <c r="V145" s="24"/>
      <c r="W145" s="24"/>
      <c r="X145" s="25" t="s">
        <v>71</v>
      </c>
      <c r="Y145" s="25"/>
      <c r="Z145" s="25"/>
      <c r="AA145" s="25"/>
      <c r="AB145" s="24">
        <f>650000</f>
        <v>650000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650000</f>
        <v>650000</v>
      </c>
      <c r="AU145" s="24"/>
      <c r="AV145" s="24"/>
      <c r="AW145" s="25" t="s">
        <v>71</v>
      </c>
      <c r="AX145" s="25"/>
      <c r="AY145" s="24">
        <f>590857.8</f>
        <v>590857.8</v>
      </c>
      <c r="AZ145" s="24"/>
      <c r="BA145" s="25" t="s">
        <v>71</v>
      </c>
      <c r="BB145" s="25"/>
      <c r="BC145" s="25"/>
      <c r="BD145" s="24">
        <f>590857.8</f>
        <v>590857.8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590857.8</f>
        <v>590857.8</v>
      </c>
      <c r="BO145" s="24"/>
      <c r="BP145" s="24"/>
      <c r="BQ145" s="27" t="s">
        <v>71</v>
      </c>
    </row>
    <row r="146" spans="1:69" s="1" customFormat="1" ht="33.75" customHeight="1">
      <c r="A146" s="16" t="s">
        <v>302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220</v>
      </c>
      <c r="N146" s="23"/>
      <c r="O146" s="23"/>
      <c r="P146" s="31" t="s">
        <v>303</v>
      </c>
      <c r="Q146" s="31"/>
      <c r="R146" s="31"/>
      <c r="S146" s="31"/>
      <c r="T146" s="31"/>
      <c r="U146" s="24">
        <f>650000</f>
        <v>650000</v>
      </c>
      <c r="V146" s="24"/>
      <c r="W146" s="24"/>
      <c r="X146" s="25" t="s">
        <v>71</v>
      </c>
      <c r="Y146" s="25"/>
      <c r="Z146" s="25"/>
      <c r="AA146" s="25"/>
      <c r="AB146" s="24">
        <f>650000</f>
        <v>650000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650000</f>
        <v>650000</v>
      </c>
      <c r="AU146" s="24"/>
      <c r="AV146" s="24"/>
      <c r="AW146" s="25" t="s">
        <v>71</v>
      </c>
      <c r="AX146" s="25"/>
      <c r="AY146" s="24">
        <f>590857.8</f>
        <v>590857.8</v>
      </c>
      <c r="AZ146" s="24"/>
      <c r="BA146" s="25" t="s">
        <v>71</v>
      </c>
      <c r="BB146" s="25"/>
      <c r="BC146" s="25"/>
      <c r="BD146" s="24">
        <f>590857.8</f>
        <v>590857.8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590857.8</f>
        <v>590857.8</v>
      </c>
      <c r="BO146" s="24"/>
      <c r="BP146" s="24"/>
      <c r="BQ146" s="27" t="s">
        <v>71</v>
      </c>
    </row>
    <row r="147" spans="1:69" s="1" customFormat="1" ht="24" customHeight="1">
      <c r="A147" s="16" t="s">
        <v>239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220</v>
      </c>
      <c r="N147" s="23"/>
      <c r="O147" s="23"/>
      <c r="P147" s="31" t="s">
        <v>304</v>
      </c>
      <c r="Q147" s="31"/>
      <c r="R147" s="31"/>
      <c r="S147" s="31"/>
      <c r="T147" s="31"/>
      <c r="U147" s="24">
        <f>650000</f>
        <v>650000</v>
      </c>
      <c r="V147" s="24"/>
      <c r="W147" s="24"/>
      <c r="X147" s="25" t="s">
        <v>71</v>
      </c>
      <c r="Y147" s="25"/>
      <c r="Z147" s="25"/>
      <c r="AA147" s="25"/>
      <c r="AB147" s="24">
        <f>650000</f>
        <v>650000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650000</f>
        <v>650000</v>
      </c>
      <c r="AU147" s="24"/>
      <c r="AV147" s="24"/>
      <c r="AW147" s="25" t="s">
        <v>71</v>
      </c>
      <c r="AX147" s="25"/>
      <c r="AY147" s="24">
        <f>590857.8</f>
        <v>590857.8</v>
      </c>
      <c r="AZ147" s="24"/>
      <c r="BA147" s="25" t="s">
        <v>71</v>
      </c>
      <c r="BB147" s="25"/>
      <c r="BC147" s="25"/>
      <c r="BD147" s="24">
        <f>590857.8</f>
        <v>590857.8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590857.8</f>
        <v>590857.8</v>
      </c>
      <c r="BO147" s="24"/>
      <c r="BP147" s="24"/>
      <c r="BQ147" s="27" t="s">
        <v>71</v>
      </c>
    </row>
    <row r="148" spans="1:69" s="1" customFormat="1" ht="24" customHeight="1">
      <c r="A148" s="16" t="s">
        <v>241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220</v>
      </c>
      <c r="N148" s="23"/>
      <c r="O148" s="23"/>
      <c r="P148" s="31" t="s">
        <v>305</v>
      </c>
      <c r="Q148" s="31"/>
      <c r="R148" s="31"/>
      <c r="S148" s="31"/>
      <c r="T148" s="31"/>
      <c r="U148" s="24">
        <f>650000</f>
        <v>650000</v>
      </c>
      <c r="V148" s="24"/>
      <c r="W148" s="24"/>
      <c r="X148" s="25" t="s">
        <v>71</v>
      </c>
      <c r="Y148" s="25"/>
      <c r="Z148" s="25"/>
      <c r="AA148" s="25"/>
      <c r="AB148" s="24">
        <f>650000</f>
        <v>650000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650000</f>
        <v>650000</v>
      </c>
      <c r="AU148" s="24"/>
      <c r="AV148" s="24"/>
      <c r="AW148" s="25" t="s">
        <v>71</v>
      </c>
      <c r="AX148" s="25"/>
      <c r="AY148" s="24">
        <f>590857.8</f>
        <v>590857.8</v>
      </c>
      <c r="AZ148" s="24"/>
      <c r="BA148" s="25" t="s">
        <v>71</v>
      </c>
      <c r="BB148" s="25"/>
      <c r="BC148" s="25"/>
      <c r="BD148" s="24">
        <f>590857.8</f>
        <v>590857.8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590857.8</f>
        <v>590857.8</v>
      </c>
      <c r="BO148" s="24"/>
      <c r="BP148" s="24"/>
      <c r="BQ148" s="27" t="s">
        <v>71</v>
      </c>
    </row>
    <row r="149" spans="1:69" s="1" customFormat="1" ht="13.5" customHeight="1">
      <c r="A149" s="16" t="s">
        <v>243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220</v>
      </c>
      <c r="N149" s="23"/>
      <c r="O149" s="23"/>
      <c r="P149" s="31" t="s">
        <v>306</v>
      </c>
      <c r="Q149" s="31"/>
      <c r="R149" s="31"/>
      <c r="S149" s="31"/>
      <c r="T149" s="31"/>
      <c r="U149" s="24">
        <f>650000</f>
        <v>650000</v>
      </c>
      <c r="V149" s="24"/>
      <c r="W149" s="24"/>
      <c r="X149" s="25" t="s">
        <v>71</v>
      </c>
      <c r="Y149" s="25"/>
      <c r="Z149" s="25"/>
      <c r="AA149" s="25"/>
      <c r="AB149" s="24">
        <f>650000</f>
        <v>650000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650000</f>
        <v>650000</v>
      </c>
      <c r="AU149" s="24"/>
      <c r="AV149" s="24"/>
      <c r="AW149" s="25" t="s">
        <v>71</v>
      </c>
      <c r="AX149" s="25"/>
      <c r="AY149" s="24">
        <f>590857.8</f>
        <v>590857.8</v>
      </c>
      <c r="AZ149" s="24"/>
      <c r="BA149" s="25" t="s">
        <v>71</v>
      </c>
      <c r="BB149" s="25"/>
      <c r="BC149" s="25"/>
      <c r="BD149" s="24">
        <f>590857.8</f>
        <v>590857.8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590857.8</f>
        <v>590857.8</v>
      </c>
      <c r="BO149" s="24"/>
      <c r="BP149" s="24"/>
      <c r="BQ149" s="27" t="s">
        <v>71</v>
      </c>
    </row>
    <row r="150" spans="1:69" s="1" customFormat="1" ht="13.5" customHeight="1">
      <c r="A150" s="16" t="s">
        <v>307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220</v>
      </c>
      <c r="N150" s="23"/>
      <c r="O150" s="23"/>
      <c r="P150" s="31" t="s">
        <v>308</v>
      </c>
      <c r="Q150" s="31"/>
      <c r="R150" s="31"/>
      <c r="S150" s="31"/>
      <c r="T150" s="31"/>
      <c r="U150" s="24">
        <f>11121270.46</f>
        <v>11121270.46</v>
      </c>
      <c r="V150" s="24"/>
      <c r="W150" s="24"/>
      <c r="X150" s="25" t="s">
        <v>71</v>
      </c>
      <c r="Y150" s="25"/>
      <c r="Z150" s="25"/>
      <c r="AA150" s="25"/>
      <c r="AB150" s="24">
        <f>11121270.46</f>
        <v>11121270.46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11121270.46</f>
        <v>11121270.46</v>
      </c>
      <c r="AU150" s="24"/>
      <c r="AV150" s="24"/>
      <c r="AW150" s="25" t="s">
        <v>71</v>
      </c>
      <c r="AX150" s="25"/>
      <c r="AY150" s="24">
        <f>10105366.79</f>
        <v>10105366.79</v>
      </c>
      <c r="AZ150" s="24"/>
      <c r="BA150" s="25" t="s">
        <v>71</v>
      </c>
      <c r="BB150" s="25"/>
      <c r="BC150" s="25"/>
      <c r="BD150" s="24">
        <f>10105366.79</f>
        <v>10105366.79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10105366.79</f>
        <v>10105366.79</v>
      </c>
      <c r="BO150" s="24"/>
      <c r="BP150" s="24"/>
      <c r="BQ150" s="27" t="s">
        <v>71</v>
      </c>
    </row>
    <row r="151" spans="1:69" s="1" customFormat="1" ht="13.5" customHeight="1">
      <c r="A151" s="16" t="s">
        <v>309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220</v>
      </c>
      <c r="N151" s="23"/>
      <c r="O151" s="23"/>
      <c r="P151" s="31" t="s">
        <v>310</v>
      </c>
      <c r="Q151" s="31"/>
      <c r="R151" s="31"/>
      <c r="S151" s="31"/>
      <c r="T151" s="31"/>
      <c r="U151" s="24">
        <f>11020270.46</f>
        <v>11020270.46</v>
      </c>
      <c r="V151" s="24"/>
      <c r="W151" s="24"/>
      <c r="X151" s="25" t="s">
        <v>71</v>
      </c>
      <c r="Y151" s="25"/>
      <c r="Z151" s="25"/>
      <c r="AA151" s="25"/>
      <c r="AB151" s="24">
        <f>11020270.46</f>
        <v>11020270.46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11020270.46</f>
        <v>11020270.46</v>
      </c>
      <c r="AU151" s="24"/>
      <c r="AV151" s="24"/>
      <c r="AW151" s="25" t="s">
        <v>71</v>
      </c>
      <c r="AX151" s="25"/>
      <c r="AY151" s="24">
        <f>10085366.79</f>
        <v>10085366.79</v>
      </c>
      <c r="AZ151" s="24"/>
      <c r="BA151" s="25" t="s">
        <v>71</v>
      </c>
      <c r="BB151" s="25"/>
      <c r="BC151" s="25"/>
      <c r="BD151" s="24">
        <f>10085366.79</f>
        <v>10085366.79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10085366.79</f>
        <v>10085366.79</v>
      </c>
      <c r="BO151" s="24"/>
      <c r="BP151" s="24"/>
      <c r="BQ151" s="27" t="s">
        <v>71</v>
      </c>
    </row>
    <row r="152" spans="1:69" s="1" customFormat="1" ht="24" customHeight="1">
      <c r="A152" s="16" t="s">
        <v>239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220</v>
      </c>
      <c r="N152" s="23"/>
      <c r="O152" s="23"/>
      <c r="P152" s="31" t="s">
        <v>311</v>
      </c>
      <c r="Q152" s="31"/>
      <c r="R152" s="31"/>
      <c r="S152" s="31"/>
      <c r="T152" s="31"/>
      <c r="U152" s="24">
        <f>11020270.46</f>
        <v>11020270.46</v>
      </c>
      <c r="V152" s="24"/>
      <c r="W152" s="24"/>
      <c r="X152" s="25" t="s">
        <v>71</v>
      </c>
      <c r="Y152" s="25"/>
      <c r="Z152" s="25"/>
      <c r="AA152" s="25"/>
      <c r="AB152" s="24">
        <f>11020270.46</f>
        <v>11020270.46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11020270.46</f>
        <v>11020270.46</v>
      </c>
      <c r="AU152" s="24"/>
      <c r="AV152" s="24"/>
      <c r="AW152" s="25" t="s">
        <v>71</v>
      </c>
      <c r="AX152" s="25"/>
      <c r="AY152" s="24">
        <f>10085366.79</f>
        <v>10085366.79</v>
      </c>
      <c r="AZ152" s="24"/>
      <c r="BA152" s="25" t="s">
        <v>71</v>
      </c>
      <c r="BB152" s="25"/>
      <c r="BC152" s="25"/>
      <c r="BD152" s="24">
        <f>10085366.79</f>
        <v>10085366.79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10085366.79</f>
        <v>10085366.79</v>
      </c>
      <c r="BO152" s="24"/>
      <c r="BP152" s="24"/>
      <c r="BQ152" s="27" t="s">
        <v>71</v>
      </c>
    </row>
    <row r="153" spans="1:69" s="1" customFormat="1" ht="24" customHeight="1">
      <c r="A153" s="16" t="s">
        <v>241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220</v>
      </c>
      <c r="N153" s="23"/>
      <c r="O153" s="23"/>
      <c r="P153" s="31" t="s">
        <v>312</v>
      </c>
      <c r="Q153" s="31"/>
      <c r="R153" s="31"/>
      <c r="S153" s="31"/>
      <c r="T153" s="31"/>
      <c r="U153" s="24">
        <f>11020270.46</f>
        <v>11020270.46</v>
      </c>
      <c r="V153" s="24"/>
      <c r="W153" s="24"/>
      <c r="X153" s="25" t="s">
        <v>71</v>
      </c>
      <c r="Y153" s="25"/>
      <c r="Z153" s="25"/>
      <c r="AA153" s="25"/>
      <c r="AB153" s="24">
        <f>11020270.46</f>
        <v>11020270.46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11020270.46</f>
        <v>11020270.46</v>
      </c>
      <c r="AU153" s="24"/>
      <c r="AV153" s="24"/>
      <c r="AW153" s="25" t="s">
        <v>71</v>
      </c>
      <c r="AX153" s="25"/>
      <c r="AY153" s="24">
        <f>10085366.79</f>
        <v>10085366.79</v>
      </c>
      <c r="AZ153" s="24"/>
      <c r="BA153" s="25" t="s">
        <v>71</v>
      </c>
      <c r="BB153" s="25"/>
      <c r="BC153" s="25"/>
      <c r="BD153" s="24">
        <f>10085366.79</f>
        <v>10085366.79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10085366.79</f>
        <v>10085366.79</v>
      </c>
      <c r="BO153" s="24"/>
      <c r="BP153" s="24"/>
      <c r="BQ153" s="27" t="s">
        <v>71</v>
      </c>
    </row>
    <row r="154" spans="1:69" s="1" customFormat="1" ht="13.5" customHeight="1">
      <c r="A154" s="16" t="s">
        <v>243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220</v>
      </c>
      <c r="N154" s="23"/>
      <c r="O154" s="23"/>
      <c r="P154" s="31" t="s">
        <v>313</v>
      </c>
      <c r="Q154" s="31"/>
      <c r="R154" s="31"/>
      <c r="S154" s="31"/>
      <c r="T154" s="31"/>
      <c r="U154" s="24">
        <f>11020270.46</f>
        <v>11020270.46</v>
      </c>
      <c r="V154" s="24"/>
      <c r="W154" s="24"/>
      <c r="X154" s="25" t="s">
        <v>71</v>
      </c>
      <c r="Y154" s="25"/>
      <c r="Z154" s="25"/>
      <c r="AA154" s="25"/>
      <c r="AB154" s="24">
        <f>11020270.46</f>
        <v>11020270.46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11020270.46</f>
        <v>11020270.46</v>
      </c>
      <c r="AU154" s="24"/>
      <c r="AV154" s="24"/>
      <c r="AW154" s="25" t="s">
        <v>71</v>
      </c>
      <c r="AX154" s="25"/>
      <c r="AY154" s="24">
        <f>10085366.79</f>
        <v>10085366.79</v>
      </c>
      <c r="AZ154" s="24"/>
      <c r="BA154" s="25" t="s">
        <v>71</v>
      </c>
      <c r="BB154" s="25"/>
      <c r="BC154" s="25"/>
      <c r="BD154" s="24">
        <f>10085366.79</f>
        <v>10085366.79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10085366.79</f>
        <v>10085366.79</v>
      </c>
      <c r="BO154" s="24"/>
      <c r="BP154" s="24"/>
      <c r="BQ154" s="27" t="s">
        <v>71</v>
      </c>
    </row>
    <row r="155" spans="1:69" s="1" customFormat="1" ht="13.5" customHeight="1">
      <c r="A155" s="16" t="s">
        <v>314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220</v>
      </c>
      <c r="N155" s="23"/>
      <c r="O155" s="23"/>
      <c r="P155" s="31" t="s">
        <v>315</v>
      </c>
      <c r="Q155" s="31"/>
      <c r="R155" s="31"/>
      <c r="S155" s="31"/>
      <c r="T155" s="31"/>
      <c r="U155" s="24">
        <f>101000</f>
        <v>101000</v>
      </c>
      <c r="V155" s="24"/>
      <c r="W155" s="24"/>
      <c r="X155" s="25" t="s">
        <v>71</v>
      </c>
      <c r="Y155" s="25"/>
      <c r="Z155" s="25"/>
      <c r="AA155" s="25"/>
      <c r="AB155" s="24">
        <f>101000</f>
        <v>101000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101000</f>
        <v>101000</v>
      </c>
      <c r="AU155" s="24"/>
      <c r="AV155" s="24"/>
      <c r="AW155" s="25" t="s">
        <v>71</v>
      </c>
      <c r="AX155" s="25"/>
      <c r="AY155" s="24">
        <f>20000</f>
        <v>20000</v>
      </c>
      <c r="AZ155" s="24"/>
      <c r="BA155" s="25" t="s">
        <v>71</v>
      </c>
      <c r="BB155" s="25"/>
      <c r="BC155" s="25"/>
      <c r="BD155" s="24">
        <f>20000</f>
        <v>20000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20000</f>
        <v>20000</v>
      </c>
      <c r="BO155" s="24"/>
      <c r="BP155" s="24"/>
      <c r="BQ155" s="27" t="s">
        <v>71</v>
      </c>
    </row>
    <row r="156" spans="1:69" s="1" customFormat="1" ht="24" customHeight="1">
      <c r="A156" s="16" t="s">
        <v>239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220</v>
      </c>
      <c r="N156" s="23"/>
      <c r="O156" s="23"/>
      <c r="P156" s="31" t="s">
        <v>316</v>
      </c>
      <c r="Q156" s="31"/>
      <c r="R156" s="31"/>
      <c r="S156" s="31"/>
      <c r="T156" s="31"/>
      <c r="U156" s="24">
        <f>101000</f>
        <v>101000</v>
      </c>
      <c r="V156" s="24"/>
      <c r="W156" s="24"/>
      <c r="X156" s="25" t="s">
        <v>71</v>
      </c>
      <c r="Y156" s="25"/>
      <c r="Z156" s="25"/>
      <c r="AA156" s="25"/>
      <c r="AB156" s="24">
        <f>101000</f>
        <v>101000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101000</f>
        <v>101000</v>
      </c>
      <c r="AU156" s="24"/>
      <c r="AV156" s="24"/>
      <c r="AW156" s="25" t="s">
        <v>71</v>
      </c>
      <c r="AX156" s="25"/>
      <c r="AY156" s="24">
        <f>20000</f>
        <v>20000</v>
      </c>
      <c r="AZ156" s="24"/>
      <c r="BA156" s="25" t="s">
        <v>71</v>
      </c>
      <c r="BB156" s="25"/>
      <c r="BC156" s="25"/>
      <c r="BD156" s="24">
        <f>20000</f>
        <v>20000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20000</f>
        <v>20000</v>
      </c>
      <c r="BO156" s="24"/>
      <c r="BP156" s="24"/>
      <c r="BQ156" s="27" t="s">
        <v>71</v>
      </c>
    </row>
    <row r="157" spans="1:69" s="1" customFormat="1" ht="24" customHeight="1">
      <c r="A157" s="16" t="s">
        <v>241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220</v>
      </c>
      <c r="N157" s="23"/>
      <c r="O157" s="23"/>
      <c r="P157" s="31" t="s">
        <v>317</v>
      </c>
      <c r="Q157" s="31"/>
      <c r="R157" s="31"/>
      <c r="S157" s="31"/>
      <c r="T157" s="31"/>
      <c r="U157" s="24">
        <f>101000</f>
        <v>101000</v>
      </c>
      <c r="V157" s="24"/>
      <c r="W157" s="24"/>
      <c r="X157" s="25" t="s">
        <v>71</v>
      </c>
      <c r="Y157" s="25"/>
      <c r="Z157" s="25"/>
      <c r="AA157" s="25"/>
      <c r="AB157" s="24">
        <f>101000</f>
        <v>101000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101000</f>
        <v>101000</v>
      </c>
      <c r="AU157" s="24"/>
      <c r="AV157" s="24"/>
      <c r="AW157" s="25" t="s">
        <v>71</v>
      </c>
      <c r="AX157" s="25"/>
      <c r="AY157" s="24">
        <f>20000</f>
        <v>20000</v>
      </c>
      <c r="AZ157" s="24"/>
      <c r="BA157" s="25" t="s">
        <v>71</v>
      </c>
      <c r="BB157" s="25"/>
      <c r="BC157" s="25"/>
      <c r="BD157" s="24">
        <f>20000</f>
        <v>20000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20000</f>
        <v>20000</v>
      </c>
      <c r="BO157" s="24"/>
      <c r="BP157" s="24"/>
      <c r="BQ157" s="27" t="s">
        <v>71</v>
      </c>
    </row>
    <row r="158" spans="1:69" s="1" customFormat="1" ht="13.5" customHeight="1">
      <c r="A158" s="16" t="s">
        <v>243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220</v>
      </c>
      <c r="N158" s="23"/>
      <c r="O158" s="23"/>
      <c r="P158" s="31" t="s">
        <v>318</v>
      </c>
      <c r="Q158" s="31"/>
      <c r="R158" s="31"/>
      <c r="S158" s="31"/>
      <c r="T158" s="31"/>
      <c r="U158" s="24">
        <f>101000</f>
        <v>101000</v>
      </c>
      <c r="V158" s="24"/>
      <c r="W158" s="24"/>
      <c r="X158" s="25" t="s">
        <v>71</v>
      </c>
      <c r="Y158" s="25"/>
      <c r="Z158" s="25"/>
      <c r="AA158" s="25"/>
      <c r="AB158" s="24">
        <f>101000</f>
        <v>101000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101000</f>
        <v>101000</v>
      </c>
      <c r="AU158" s="24"/>
      <c r="AV158" s="24"/>
      <c r="AW158" s="25" t="s">
        <v>71</v>
      </c>
      <c r="AX158" s="25"/>
      <c r="AY158" s="24">
        <f>20000</f>
        <v>20000</v>
      </c>
      <c r="AZ158" s="24"/>
      <c r="BA158" s="25" t="s">
        <v>71</v>
      </c>
      <c r="BB158" s="25"/>
      <c r="BC158" s="25"/>
      <c r="BD158" s="24">
        <f>20000</f>
        <v>20000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20000</f>
        <v>20000</v>
      </c>
      <c r="BO158" s="24"/>
      <c r="BP158" s="24"/>
      <c r="BQ158" s="27" t="s">
        <v>71</v>
      </c>
    </row>
    <row r="159" spans="1:69" s="1" customFormat="1" ht="13.5" customHeight="1">
      <c r="A159" s="16" t="s">
        <v>319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220</v>
      </c>
      <c r="N159" s="23"/>
      <c r="O159" s="23"/>
      <c r="P159" s="31" t="s">
        <v>320</v>
      </c>
      <c r="Q159" s="31"/>
      <c r="R159" s="31"/>
      <c r="S159" s="31"/>
      <c r="T159" s="31"/>
      <c r="U159" s="24">
        <f>12987185.8</f>
        <v>12987185.8</v>
      </c>
      <c r="V159" s="24"/>
      <c r="W159" s="24"/>
      <c r="X159" s="25" t="s">
        <v>71</v>
      </c>
      <c r="Y159" s="25"/>
      <c r="Z159" s="25"/>
      <c r="AA159" s="25"/>
      <c r="AB159" s="24">
        <f>12987185.8</f>
        <v>12987185.8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12987185.8</f>
        <v>12987185.8</v>
      </c>
      <c r="AU159" s="24"/>
      <c r="AV159" s="24"/>
      <c r="AW159" s="25" t="s">
        <v>71</v>
      </c>
      <c r="AX159" s="25"/>
      <c r="AY159" s="24">
        <f>12367117.98</f>
        <v>12367117.98</v>
      </c>
      <c r="AZ159" s="24"/>
      <c r="BA159" s="25" t="s">
        <v>71</v>
      </c>
      <c r="BB159" s="25"/>
      <c r="BC159" s="25"/>
      <c r="BD159" s="24">
        <f>12367117.98</f>
        <v>12367117.98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12367117.98</f>
        <v>12367117.98</v>
      </c>
      <c r="BO159" s="24"/>
      <c r="BP159" s="24"/>
      <c r="BQ159" s="27" t="s">
        <v>71</v>
      </c>
    </row>
    <row r="160" spans="1:69" s="1" customFormat="1" ht="13.5" customHeight="1">
      <c r="A160" s="16" t="s">
        <v>321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220</v>
      </c>
      <c r="N160" s="23"/>
      <c r="O160" s="23"/>
      <c r="P160" s="31" t="s">
        <v>322</v>
      </c>
      <c r="Q160" s="31"/>
      <c r="R160" s="31"/>
      <c r="S160" s="31"/>
      <c r="T160" s="31"/>
      <c r="U160" s="24">
        <f>716190</f>
        <v>716190</v>
      </c>
      <c r="V160" s="24"/>
      <c r="W160" s="24"/>
      <c r="X160" s="25" t="s">
        <v>71</v>
      </c>
      <c r="Y160" s="25"/>
      <c r="Z160" s="25"/>
      <c r="AA160" s="25"/>
      <c r="AB160" s="24">
        <f>716190</f>
        <v>716190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716190</f>
        <v>716190</v>
      </c>
      <c r="AU160" s="24"/>
      <c r="AV160" s="24"/>
      <c r="AW160" s="25" t="s">
        <v>71</v>
      </c>
      <c r="AX160" s="25"/>
      <c r="AY160" s="24">
        <f>633793.46</f>
        <v>633793.46</v>
      </c>
      <c r="AZ160" s="24"/>
      <c r="BA160" s="25" t="s">
        <v>71</v>
      </c>
      <c r="BB160" s="25"/>
      <c r="BC160" s="25"/>
      <c r="BD160" s="24">
        <f>633793.46</f>
        <v>633793.46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633793.46</f>
        <v>633793.46</v>
      </c>
      <c r="BO160" s="24"/>
      <c r="BP160" s="24"/>
      <c r="BQ160" s="27" t="s">
        <v>71</v>
      </c>
    </row>
    <row r="161" spans="1:69" s="1" customFormat="1" ht="24" customHeight="1">
      <c r="A161" s="16" t="s">
        <v>239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220</v>
      </c>
      <c r="N161" s="23"/>
      <c r="O161" s="23"/>
      <c r="P161" s="31" t="s">
        <v>323</v>
      </c>
      <c r="Q161" s="31"/>
      <c r="R161" s="31"/>
      <c r="S161" s="31"/>
      <c r="T161" s="31"/>
      <c r="U161" s="24">
        <f>716190</f>
        <v>716190</v>
      </c>
      <c r="V161" s="24"/>
      <c r="W161" s="24"/>
      <c r="X161" s="25" t="s">
        <v>71</v>
      </c>
      <c r="Y161" s="25"/>
      <c r="Z161" s="25"/>
      <c r="AA161" s="25"/>
      <c r="AB161" s="24">
        <f>716190</f>
        <v>716190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716190</f>
        <v>716190</v>
      </c>
      <c r="AU161" s="24"/>
      <c r="AV161" s="24"/>
      <c r="AW161" s="25" t="s">
        <v>71</v>
      </c>
      <c r="AX161" s="25"/>
      <c r="AY161" s="24">
        <f>633793.46</f>
        <v>633793.46</v>
      </c>
      <c r="AZ161" s="24"/>
      <c r="BA161" s="25" t="s">
        <v>71</v>
      </c>
      <c r="BB161" s="25"/>
      <c r="BC161" s="25"/>
      <c r="BD161" s="24">
        <f>633793.46</f>
        <v>633793.46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633793.46</f>
        <v>633793.46</v>
      </c>
      <c r="BO161" s="24"/>
      <c r="BP161" s="24"/>
      <c r="BQ161" s="27" t="s">
        <v>71</v>
      </c>
    </row>
    <row r="162" spans="1:69" s="1" customFormat="1" ht="24" customHeight="1">
      <c r="A162" s="16" t="s">
        <v>241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220</v>
      </c>
      <c r="N162" s="23"/>
      <c r="O162" s="23"/>
      <c r="P162" s="31" t="s">
        <v>324</v>
      </c>
      <c r="Q162" s="31"/>
      <c r="R162" s="31"/>
      <c r="S162" s="31"/>
      <c r="T162" s="31"/>
      <c r="U162" s="24">
        <f>716190</f>
        <v>716190</v>
      </c>
      <c r="V162" s="24"/>
      <c r="W162" s="24"/>
      <c r="X162" s="25" t="s">
        <v>71</v>
      </c>
      <c r="Y162" s="25"/>
      <c r="Z162" s="25"/>
      <c r="AA162" s="25"/>
      <c r="AB162" s="24">
        <f>716190</f>
        <v>716190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716190</f>
        <v>716190</v>
      </c>
      <c r="AU162" s="24"/>
      <c r="AV162" s="24"/>
      <c r="AW162" s="25" t="s">
        <v>71</v>
      </c>
      <c r="AX162" s="25"/>
      <c r="AY162" s="24">
        <f>633793.46</f>
        <v>633793.46</v>
      </c>
      <c r="AZ162" s="24"/>
      <c r="BA162" s="25" t="s">
        <v>71</v>
      </c>
      <c r="BB162" s="25"/>
      <c r="BC162" s="25"/>
      <c r="BD162" s="24">
        <f>633793.46</f>
        <v>633793.46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633793.46</f>
        <v>633793.46</v>
      </c>
      <c r="BO162" s="24"/>
      <c r="BP162" s="24"/>
      <c r="BQ162" s="27" t="s">
        <v>71</v>
      </c>
    </row>
    <row r="163" spans="1:69" s="1" customFormat="1" ht="13.5" customHeight="1">
      <c r="A163" s="16" t="s">
        <v>243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220</v>
      </c>
      <c r="N163" s="23"/>
      <c r="O163" s="23"/>
      <c r="P163" s="31" t="s">
        <v>325</v>
      </c>
      <c r="Q163" s="31"/>
      <c r="R163" s="31"/>
      <c r="S163" s="31"/>
      <c r="T163" s="31"/>
      <c r="U163" s="24">
        <f>716190</f>
        <v>716190</v>
      </c>
      <c r="V163" s="24"/>
      <c r="W163" s="24"/>
      <c r="X163" s="25" t="s">
        <v>71</v>
      </c>
      <c r="Y163" s="25"/>
      <c r="Z163" s="25"/>
      <c r="AA163" s="25"/>
      <c r="AB163" s="24">
        <f>716190</f>
        <v>716190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716190</f>
        <v>716190</v>
      </c>
      <c r="AU163" s="24"/>
      <c r="AV163" s="24"/>
      <c r="AW163" s="25" t="s">
        <v>71</v>
      </c>
      <c r="AX163" s="25"/>
      <c r="AY163" s="24">
        <f>633793.46</f>
        <v>633793.46</v>
      </c>
      <c r="AZ163" s="24"/>
      <c r="BA163" s="25" t="s">
        <v>71</v>
      </c>
      <c r="BB163" s="25"/>
      <c r="BC163" s="25"/>
      <c r="BD163" s="24">
        <f>633793.46</f>
        <v>633793.46</v>
      </c>
      <c r="BE163" s="24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4">
        <f>633793.46</f>
        <v>633793.46</v>
      </c>
      <c r="BO163" s="24"/>
      <c r="BP163" s="24"/>
      <c r="BQ163" s="27" t="s">
        <v>71</v>
      </c>
    </row>
    <row r="164" spans="1:69" s="1" customFormat="1" ht="13.5" customHeight="1">
      <c r="A164" s="16" t="s">
        <v>326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220</v>
      </c>
      <c r="N164" s="23"/>
      <c r="O164" s="23"/>
      <c r="P164" s="31" t="s">
        <v>327</v>
      </c>
      <c r="Q164" s="31"/>
      <c r="R164" s="31"/>
      <c r="S164" s="31"/>
      <c r="T164" s="31"/>
      <c r="U164" s="24">
        <f>12270995.8</f>
        <v>12270995.8</v>
      </c>
      <c r="V164" s="24"/>
      <c r="W164" s="24"/>
      <c r="X164" s="25" t="s">
        <v>71</v>
      </c>
      <c r="Y164" s="25"/>
      <c r="Z164" s="25"/>
      <c r="AA164" s="25"/>
      <c r="AB164" s="24">
        <f>12270995.8</f>
        <v>12270995.8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12270995.8</f>
        <v>12270995.8</v>
      </c>
      <c r="AU164" s="24"/>
      <c r="AV164" s="24"/>
      <c r="AW164" s="25" t="s">
        <v>71</v>
      </c>
      <c r="AX164" s="25"/>
      <c r="AY164" s="24">
        <f>11733324.52</f>
        <v>11733324.52</v>
      </c>
      <c r="AZ164" s="24"/>
      <c r="BA164" s="25" t="s">
        <v>71</v>
      </c>
      <c r="BB164" s="25"/>
      <c r="BC164" s="25"/>
      <c r="BD164" s="24">
        <f>11733324.52</f>
        <v>11733324.52</v>
      </c>
      <c r="BE164" s="24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4">
        <f>11733324.52</f>
        <v>11733324.52</v>
      </c>
      <c r="BO164" s="24"/>
      <c r="BP164" s="24"/>
      <c r="BQ164" s="27" t="s">
        <v>71</v>
      </c>
    </row>
    <row r="165" spans="1:69" s="1" customFormat="1" ht="54.75" customHeight="1">
      <c r="A165" s="16" t="s">
        <v>225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220</v>
      </c>
      <c r="N165" s="23"/>
      <c r="O165" s="23"/>
      <c r="P165" s="31" t="s">
        <v>328</v>
      </c>
      <c r="Q165" s="31"/>
      <c r="R165" s="31"/>
      <c r="S165" s="31"/>
      <c r="T165" s="31"/>
      <c r="U165" s="24">
        <f>1928889</f>
        <v>1928889</v>
      </c>
      <c r="V165" s="24"/>
      <c r="W165" s="24"/>
      <c r="X165" s="25" t="s">
        <v>71</v>
      </c>
      <c r="Y165" s="25"/>
      <c r="Z165" s="25"/>
      <c r="AA165" s="25"/>
      <c r="AB165" s="24">
        <f>1928889</f>
        <v>1928889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1928889</f>
        <v>1928889</v>
      </c>
      <c r="AU165" s="24"/>
      <c r="AV165" s="24"/>
      <c r="AW165" s="25" t="s">
        <v>71</v>
      </c>
      <c r="AX165" s="25"/>
      <c r="AY165" s="24">
        <f>1898359.68</f>
        <v>1898359.68</v>
      </c>
      <c r="AZ165" s="24"/>
      <c r="BA165" s="25" t="s">
        <v>71</v>
      </c>
      <c r="BB165" s="25"/>
      <c r="BC165" s="25"/>
      <c r="BD165" s="24">
        <f>1898359.68</f>
        <v>1898359.68</v>
      </c>
      <c r="BE165" s="24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4">
        <f>1898359.68</f>
        <v>1898359.68</v>
      </c>
      <c r="BO165" s="24"/>
      <c r="BP165" s="24"/>
      <c r="BQ165" s="27" t="s">
        <v>71</v>
      </c>
    </row>
    <row r="166" spans="1:69" s="1" customFormat="1" ht="13.5" customHeight="1">
      <c r="A166" s="16" t="s">
        <v>273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220</v>
      </c>
      <c r="N166" s="23"/>
      <c r="O166" s="23"/>
      <c r="P166" s="31" t="s">
        <v>329</v>
      </c>
      <c r="Q166" s="31"/>
      <c r="R166" s="31"/>
      <c r="S166" s="31"/>
      <c r="T166" s="31"/>
      <c r="U166" s="24">
        <f>1928889</f>
        <v>1928889</v>
      </c>
      <c r="V166" s="24"/>
      <c r="W166" s="24"/>
      <c r="X166" s="25" t="s">
        <v>71</v>
      </c>
      <c r="Y166" s="25"/>
      <c r="Z166" s="25"/>
      <c r="AA166" s="25"/>
      <c r="AB166" s="24">
        <f>1928889</f>
        <v>1928889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1928889</f>
        <v>1928889</v>
      </c>
      <c r="AU166" s="24"/>
      <c r="AV166" s="24"/>
      <c r="AW166" s="25" t="s">
        <v>71</v>
      </c>
      <c r="AX166" s="25"/>
      <c r="AY166" s="24">
        <f>1898359.68</f>
        <v>1898359.68</v>
      </c>
      <c r="AZ166" s="24"/>
      <c r="BA166" s="25" t="s">
        <v>71</v>
      </c>
      <c r="BB166" s="25"/>
      <c r="BC166" s="25"/>
      <c r="BD166" s="24">
        <f>1898359.68</f>
        <v>1898359.68</v>
      </c>
      <c r="BE166" s="24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4">
        <f>1898359.68</f>
        <v>1898359.68</v>
      </c>
      <c r="BO166" s="24"/>
      <c r="BP166" s="24"/>
      <c r="BQ166" s="27" t="s">
        <v>71</v>
      </c>
    </row>
    <row r="167" spans="1:69" s="1" customFormat="1" ht="13.5" customHeight="1">
      <c r="A167" s="16" t="s">
        <v>275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220</v>
      </c>
      <c r="N167" s="23"/>
      <c r="O167" s="23"/>
      <c r="P167" s="31" t="s">
        <v>330</v>
      </c>
      <c r="Q167" s="31"/>
      <c r="R167" s="31"/>
      <c r="S167" s="31"/>
      <c r="T167" s="31"/>
      <c r="U167" s="24">
        <f>1482031</f>
        <v>1482031</v>
      </c>
      <c r="V167" s="24"/>
      <c r="W167" s="24"/>
      <c r="X167" s="25" t="s">
        <v>71</v>
      </c>
      <c r="Y167" s="25"/>
      <c r="Z167" s="25"/>
      <c r="AA167" s="25"/>
      <c r="AB167" s="24">
        <f>1482031</f>
        <v>1482031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1482031</f>
        <v>1482031</v>
      </c>
      <c r="AU167" s="24"/>
      <c r="AV167" s="24"/>
      <c r="AW167" s="25" t="s">
        <v>71</v>
      </c>
      <c r="AX167" s="25"/>
      <c r="AY167" s="24">
        <f>1481993.68</f>
        <v>1481993.68</v>
      </c>
      <c r="AZ167" s="24"/>
      <c r="BA167" s="25" t="s">
        <v>71</v>
      </c>
      <c r="BB167" s="25"/>
      <c r="BC167" s="25"/>
      <c r="BD167" s="24">
        <f>1481993.68</f>
        <v>1481993.68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1481993.68</f>
        <v>1481993.68</v>
      </c>
      <c r="BO167" s="24"/>
      <c r="BP167" s="24"/>
      <c r="BQ167" s="27" t="s">
        <v>71</v>
      </c>
    </row>
    <row r="168" spans="1:69" s="1" customFormat="1" ht="33.75" customHeight="1">
      <c r="A168" s="16" t="s">
        <v>279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220</v>
      </c>
      <c r="N168" s="23"/>
      <c r="O168" s="23"/>
      <c r="P168" s="31" t="s">
        <v>331</v>
      </c>
      <c r="Q168" s="31"/>
      <c r="R168" s="31"/>
      <c r="S168" s="31"/>
      <c r="T168" s="31"/>
      <c r="U168" s="24">
        <f>446858</f>
        <v>446858</v>
      </c>
      <c r="V168" s="24"/>
      <c r="W168" s="24"/>
      <c r="X168" s="25" t="s">
        <v>71</v>
      </c>
      <c r="Y168" s="25"/>
      <c r="Z168" s="25"/>
      <c r="AA168" s="25"/>
      <c r="AB168" s="24">
        <f>446858</f>
        <v>446858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446858</f>
        <v>446858</v>
      </c>
      <c r="AU168" s="24"/>
      <c r="AV168" s="24"/>
      <c r="AW168" s="25" t="s">
        <v>71</v>
      </c>
      <c r="AX168" s="25"/>
      <c r="AY168" s="24">
        <f>416366</f>
        <v>416366</v>
      </c>
      <c r="AZ168" s="24"/>
      <c r="BA168" s="25" t="s">
        <v>71</v>
      </c>
      <c r="BB168" s="25"/>
      <c r="BC168" s="25"/>
      <c r="BD168" s="24">
        <f>416366</f>
        <v>416366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416366</f>
        <v>416366</v>
      </c>
      <c r="BO168" s="24"/>
      <c r="BP168" s="24"/>
      <c r="BQ168" s="27" t="s">
        <v>71</v>
      </c>
    </row>
    <row r="169" spans="1:69" s="1" customFormat="1" ht="24" customHeight="1">
      <c r="A169" s="16" t="s">
        <v>239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220</v>
      </c>
      <c r="N169" s="23"/>
      <c r="O169" s="23"/>
      <c r="P169" s="31" t="s">
        <v>332</v>
      </c>
      <c r="Q169" s="31"/>
      <c r="R169" s="31"/>
      <c r="S169" s="31"/>
      <c r="T169" s="31"/>
      <c r="U169" s="24">
        <f>10332106.8</f>
        <v>10332106.8</v>
      </c>
      <c r="V169" s="24"/>
      <c r="W169" s="24"/>
      <c r="X169" s="25" t="s">
        <v>71</v>
      </c>
      <c r="Y169" s="25"/>
      <c r="Z169" s="25"/>
      <c r="AA169" s="25"/>
      <c r="AB169" s="24">
        <f>10332106.8</f>
        <v>10332106.8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10332106.8</f>
        <v>10332106.8</v>
      </c>
      <c r="AU169" s="24"/>
      <c r="AV169" s="24"/>
      <c r="AW169" s="25" t="s">
        <v>71</v>
      </c>
      <c r="AX169" s="25"/>
      <c r="AY169" s="24">
        <f>9834164.84</f>
        <v>9834164.84</v>
      </c>
      <c r="AZ169" s="24"/>
      <c r="BA169" s="25" t="s">
        <v>71</v>
      </c>
      <c r="BB169" s="25"/>
      <c r="BC169" s="25"/>
      <c r="BD169" s="24">
        <f>9834164.84</f>
        <v>9834164.84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9834164.84</f>
        <v>9834164.84</v>
      </c>
      <c r="BO169" s="24"/>
      <c r="BP169" s="24"/>
      <c r="BQ169" s="27" t="s">
        <v>71</v>
      </c>
    </row>
    <row r="170" spans="1:69" s="1" customFormat="1" ht="24" customHeight="1">
      <c r="A170" s="16" t="s">
        <v>241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220</v>
      </c>
      <c r="N170" s="23"/>
      <c r="O170" s="23"/>
      <c r="P170" s="31" t="s">
        <v>333</v>
      </c>
      <c r="Q170" s="31"/>
      <c r="R170" s="31"/>
      <c r="S170" s="31"/>
      <c r="T170" s="31"/>
      <c r="U170" s="24">
        <f>10332106.8</f>
        <v>10332106.8</v>
      </c>
      <c r="V170" s="24"/>
      <c r="W170" s="24"/>
      <c r="X170" s="25" t="s">
        <v>71</v>
      </c>
      <c r="Y170" s="25"/>
      <c r="Z170" s="25"/>
      <c r="AA170" s="25"/>
      <c r="AB170" s="24">
        <f>10332106.8</f>
        <v>10332106.8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10332106.8</f>
        <v>10332106.8</v>
      </c>
      <c r="AU170" s="24"/>
      <c r="AV170" s="24"/>
      <c r="AW170" s="25" t="s">
        <v>71</v>
      </c>
      <c r="AX170" s="25"/>
      <c r="AY170" s="24">
        <f>9834164.84</f>
        <v>9834164.84</v>
      </c>
      <c r="AZ170" s="24"/>
      <c r="BA170" s="25" t="s">
        <v>71</v>
      </c>
      <c r="BB170" s="25"/>
      <c r="BC170" s="25"/>
      <c r="BD170" s="24">
        <f>9834164.84</f>
        <v>9834164.84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9834164.84</f>
        <v>9834164.84</v>
      </c>
      <c r="BO170" s="24"/>
      <c r="BP170" s="24"/>
      <c r="BQ170" s="27" t="s">
        <v>71</v>
      </c>
    </row>
    <row r="171" spans="1:69" s="1" customFormat="1" ht="13.5" customHeight="1">
      <c r="A171" s="16" t="s">
        <v>243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220</v>
      </c>
      <c r="N171" s="23"/>
      <c r="O171" s="23"/>
      <c r="P171" s="31" t="s">
        <v>334</v>
      </c>
      <c r="Q171" s="31"/>
      <c r="R171" s="31"/>
      <c r="S171" s="31"/>
      <c r="T171" s="31"/>
      <c r="U171" s="24">
        <f>8332106.8</f>
        <v>8332106.8</v>
      </c>
      <c r="V171" s="24"/>
      <c r="W171" s="24"/>
      <c r="X171" s="25" t="s">
        <v>71</v>
      </c>
      <c r="Y171" s="25"/>
      <c r="Z171" s="25"/>
      <c r="AA171" s="25"/>
      <c r="AB171" s="24">
        <f>8332106.8</f>
        <v>8332106.8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8332106.8</f>
        <v>8332106.8</v>
      </c>
      <c r="AU171" s="24"/>
      <c r="AV171" s="24"/>
      <c r="AW171" s="25" t="s">
        <v>71</v>
      </c>
      <c r="AX171" s="25"/>
      <c r="AY171" s="24">
        <f>7834164.84</f>
        <v>7834164.84</v>
      </c>
      <c r="AZ171" s="24"/>
      <c r="BA171" s="25" t="s">
        <v>71</v>
      </c>
      <c r="BB171" s="25"/>
      <c r="BC171" s="25"/>
      <c r="BD171" s="24">
        <f>7834164.84</f>
        <v>7834164.84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7834164.84</f>
        <v>7834164.84</v>
      </c>
      <c r="BO171" s="24"/>
      <c r="BP171" s="24"/>
      <c r="BQ171" s="27" t="s">
        <v>71</v>
      </c>
    </row>
    <row r="172" spans="1:69" s="1" customFormat="1" ht="13.5" customHeight="1">
      <c r="A172" s="16" t="s">
        <v>245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220</v>
      </c>
      <c r="N172" s="23"/>
      <c r="O172" s="23"/>
      <c r="P172" s="31" t="s">
        <v>335</v>
      </c>
      <c r="Q172" s="31"/>
      <c r="R172" s="31"/>
      <c r="S172" s="31"/>
      <c r="T172" s="31"/>
      <c r="U172" s="24">
        <f>2000000</f>
        <v>2000000</v>
      </c>
      <c r="V172" s="24"/>
      <c r="W172" s="24"/>
      <c r="X172" s="25" t="s">
        <v>71</v>
      </c>
      <c r="Y172" s="25"/>
      <c r="Z172" s="25"/>
      <c r="AA172" s="25"/>
      <c r="AB172" s="24">
        <f>2000000</f>
        <v>2000000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2000000</f>
        <v>2000000</v>
      </c>
      <c r="AU172" s="24"/>
      <c r="AV172" s="24"/>
      <c r="AW172" s="25" t="s">
        <v>71</v>
      </c>
      <c r="AX172" s="25"/>
      <c r="AY172" s="24">
        <f>2000000</f>
        <v>2000000</v>
      </c>
      <c r="AZ172" s="24"/>
      <c r="BA172" s="25" t="s">
        <v>71</v>
      </c>
      <c r="BB172" s="25"/>
      <c r="BC172" s="25"/>
      <c r="BD172" s="24">
        <f>2000000</f>
        <v>2000000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2000000</f>
        <v>2000000</v>
      </c>
      <c r="BO172" s="24"/>
      <c r="BP172" s="24"/>
      <c r="BQ172" s="27" t="s">
        <v>71</v>
      </c>
    </row>
    <row r="173" spans="1:69" s="1" customFormat="1" ht="13.5" customHeight="1">
      <c r="A173" s="16" t="s">
        <v>251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220</v>
      </c>
      <c r="N173" s="23"/>
      <c r="O173" s="23"/>
      <c r="P173" s="31" t="s">
        <v>336</v>
      </c>
      <c r="Q173" s="31"/>
      <c r="R173" s="31"/>
      <c r="S173" s="31"/>
      <c r="T173" s="31"/>
      <c r="U173" s="24">
        <f>10000</f>
        <v>10000</v>
      </c>
      <c r="V173" s="24"/>
      <c r="W173" s="24"/>
      <c r="X173" s="25" t="s">
        <v>71</v>
      </c>
      <c r="Y173" s="25"/>
      <c r="Z173" s="25"/>
      <c r="AA173" s="25"/>
      <c r="AB173" s="24">
        <f>10000</f>
        <v>10000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10000</f>
        <v>10000</v>
      </c>
      <c r="AU173" s="24"/>
      <c r="AV173" s="24"/>
      <c r="AW173" s="25" t="s">
        <v>71</v>
      </c>
      <c r="AX173" s="25"/>
      <c r="AY173" s="24">
        <f>800</f>
        <v>800</v>
      </c>
      <c r="AZ173" s="24"/>
      <c r="BA173" s="25" t="s">
        <v>71</v>
      </c>
      <c r="BB173" s="25"/>
      <c r="BC173" s="25"/>
      <c r="BD173" s="24">
        <f>800</f>
        <v>800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800</f>
        <v>800</v>
      </c>
      <c r="BO173" s="24"/>
      <c r="BP173" s="24"/>
      <c r="BQ173" s="27" t="s">
        <v>71</v>
      </c>
    </row>
    <row r="174" spans="1:69" s="1" customFormat="1" ht="13.5" customHeight="1">
      <c r="A174" s="16" t="s">
        <v>253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220</v>
      </c>
      <c r="N174" s="23"/>
      <c r="O174" s="23"/>
      <c r="P174" s="31" t="s">
        <v>337</v>
      </c>
      <c r="Q174" s="31"/>
      <c r="R174" s="31"/>
      <c r="S174" s="31"/>
      <c r="T174" s="31"/>
      <c r="U174" s="24">
        <f>10000</f>
        <v>10000</v>
      </c>
      <c r="V174" s="24"/>
      <c r="W174" s="24"/>
      <c r="X174" s="25" t="s">
        <v>71</v>
      </c>
      <c r="Y174" s="25"/>
      <c r="Z174" s="25"/>
      <c r="AA174" s="25"/>
      <c r="AB174" s="24">
        <f>10000</f>
        <v>10000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10000</f>
        <v>10000</v>
      </c>
      <c r="AU174" s="24"/>
      <c r="AV174" s="24"/>
      <c r="AW174" s="25" t="s">
        <v>71</v>
      </c>
      <c r="AX174" s="25"/>
      <c r="AY174" s="24">
        <f>800</f>
        <v>800</v>
      </c>
      <c r="AZ174" s="24"/>
      <c r="BA174" s="25" t="s">
        <v>71</v>
      </c>
      <c r="BB174" s="25"/>
      <c r="BC174" s="25"/>
      <c r="BD174" s="24">
        <f>800</f>
        <v>800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800</f>
        <v>800</v>
      </c>
      <c r="BO174" s="24"/>
      <c r="BP174" s="24"/>
      <c r="BQ174" s="27" t="s">
        <v>71</v>
      </c>
    </row>
    <row r="175" spans="1:69" s="1" customFormat="1" ht="13.5" customHeight="1">
      <c r="A175" s="16" t="s">
        <v>257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220</v>
      </c>
      <c r="N175" s="23"/>
      <c r="O175" s="23"/>
      <c r="P175" s="31" t="s">
        <v>338</v>
      </c>
      <c r="Q175" s="31"/>
      <c r="R175" s="31"/>
      <c r="S175" s="31"/>
      <c r="T175" s="31"/>
      <c r="U175" s="24">
        <f>9900</f>
        <v>9900</v>
      </c>
      <c r="V175" s="24"/>
      <c r="W175" s="24"/>
      <c r="X175" s="25" t="s">
        <v>71</v>
      </c>
      <c r="Y175" s="25"/>
      <c r="Z175" s="25"/>
      <c r="AA175" s="25"/>
      <c r="AB175" s="24">
        <f>9900</f>
        <v>9900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9900</f>
        <v>9900</v>
      </c>
      <c r="AU175" s="24"/>
      <c r="AV175" s="24"/>
      <c r="AW175" s="25" t="s">
        <v>71</v>
      </c>
      <c r="AX175" s="25"/>
      <c r="AY175" s="24">
        <f>800</f>
        <v>800</v>
      </c>
      <c r="AZ175" s="24"/>
      <c r="BA175" s="25" t="s">
        <v>71</v>
      </c>
      <c r="BB175" s="25"/>
      <c r="BC175" s="25"/>
      <c r="BD175" s="24">
        <f>800</f>
        <v>800</v>
      </c>
      <c r="BE175" s="24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800</f>
        <v>800</v>
      </c>
      <c r="BO175" s="24"/>
      <c r="BP175" s="24"/>
      <c r="BQ175" s="27" t="s">
        <v>71</v>
      </c>
    </row>
    <row r="176" spans="1:69" s="1" customFormat="1" ht="13.5" customHeight="1">
      <c r="A176" s="16" t="s">
        <v>259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220</v>
      </c>
      <c r="N176" s="23"/>
      <c r="O176" s="23"/>
      <c r="P176" s="31" t="s">
        <v>339</v>
      </c>
      <c r="Q176" s="31"/>
      <c r="R176" s="31"/>
      <c r="S176" s="31"/>
      <c r="T176" s="31"/>
      <c r="U176" s="24">
        <f>100</f>
        <v>100</v>
      </c>
      <c r="V176" s="24"/>
      <c r="W176" s="24"/>
      <c r="X176" s="25" t="s">
        <v>71</v>
      </c>
      <c r="Y176" s="25"/>
      <c r="Z176" s="25"/>
      <c r="AA176" s="25"/>
      <c r="AB176" s="24">
        <f>100</f>
        <v>100</v>
      </c>
      <c r="AC176" s="24"/>
      <c r="AD176" s="24"/>
      <c r="AE176" s="26" t="s">
        <v>71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100</f>
        <v>100</v>
      </c>
      <c r="AU176" s="24"/>
      <c r="AV176" s="24"/>
      <c r="AW176" s="25" t="s">
        <v>71</v>
      </c>
      <c r="AX176" s="25"/>
      <c r="AY176" s="25" t="s">
        <v>71</v>
      </c>
      <c r="AZ176" s="25"/>
      <c r="BA176" s="25" t="s">
        <v>71</v>
      </c>
      <c r="BB176" s="25"/>
      <c r="BC176" s="25"/>
      <c r="BD176" s="25" t="s">
        <v>71</v>
      </c>
      <c r="BE176" s="25"/>
      <c r="BF176" s="26" t="s">
        <v>71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5" t="s">
        <v>71</v>
      </c>
      <c r="BO176" s="25"/>
      <c r="BP176" s="25"/>
      <c r="BQ176" s="27" t="s">
        <v>71</v>
      </c>
    </row>
    <row r="177" spans="1:69" s="1" customFormat="1" ht="13.5" customHeight="1">
      <c r="A177" s="16" t="s">
        <v>340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220</v>
      </c>
      <c r="N177" s="23"/>
      <c r="O177" s="23"/>
      <c r="P177" s="31" t="s">
        <v>341</v>
      </c>
      <c r="Q177" s="31"/>
      <c r="R177" s="31"/>
      <c r="S177" s="31"/>
      <c r="T177" s="31"/>
      <c r="U177" s="24">
        <f>160800</f>
        <v>160800</v>
      </c>
      <c r="V177" s="24"/>
      <c r="W177" s="24"/>
      <c r="X177" s="25" t="s">
        <v>71</v>
      </c>
      <c r="Y177" s="25"/>
      <c r="Z177" s="25"/>
      <c r="AA177" s="25"/>
      <c r="AB177" s="24">
        <f>160800</f>
        <v>160800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160800</f>
        <v>160800</v>
      </c>
      <c r="AU177" s="24"/>
      <c r="AV177" s="24"/>
      <c r="AW177" s="25" t="s">
        <v>71</v>
      </c>
      <c r="AX177" s="25"/>
      <c r="AY177" s="24">
        <f>94230</f>
        <v>94230</v>
      </c>
      <c r="AZ177" s="24"/>
      <c r="BA177" s="25" t="s">
        <v>71</v>
      </c>
      <c r="BB177" s="25"/>
      <c r="BC177" s="25"/>
      <c r="BD177" s="24">
        <f>94230</f>
        <v>94230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94230</f>
        <v>94230</v>
      </c>
      <c r="BO177" s="24"/>
      <c r="BP177" s="24"/>
      <c r="BQ177" s="27" t="s">
        <v>71</v>
      </c>
    </row>
    <row r="178" spans="1:69" s="1" customFormat="1" ht="24" customHeight="1">
      <c r="A178" s="16" t="s">
        <v>342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220</v>
      </c>
      <c r="N178" s="23"/>
      <c r="O178" s="23"/>
      <c r="P178" s="31" t="s">
        <v>343</v>
      </c>
      <c r="Q178" s="31"/>
      <c r="R178" s="31"/>
      <c r="S178" s="31"/>
      <c r="T178" s="31"/>
      <c r="U178" s="24">
        <f>35300</f>
        <v>35300</v>
      </c>
      <c r="V178" s="24"/>
      <c r="W178" s="24"/>
      <c r="X178" s="25" t="s">
        <v>71</v>
      </c>
      <c r="Y178" s="25"/>
      <c r="Z178" s="25"/>
      <c r="AA178" s="25"/>
      <c r="AB178" s="24">
        <f>35300</f>
        <v>35300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35300</f>
        <v>35300</v>
      </c>
      <c r="AU178" s="24"/>
      <c r="AV178" s="24"/>
      <c r="AW178" s="25" t="s">
        <v>71</v>
      </c>
      <c r="AX178" s="25"/>
      <c r="AY178" s="24">
        <f>35300</f>
        <v>35300</v>
      </c>
      <c r="AZ178" s="24"/>
      <c r="BA178" s="25" t="s">
        <v>71</v>
      </c>
      <c r="BB178" s="25"/>
      <c r="BC178" s="25"/>
      <c r="BD178" s="24">
        <f>35300</f>
        <v>35300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35300</f>
        <v>35300</v>
      </c>
      <c r="BO178" s="24"/>
      <c r="BP178" s="24"/>
      <c r="BQ178" s="27" t="s">
        <v>71</v>
      </c>
    </row>
    <row r="179" spans="1:69" s="1" customFormat="1" ht="24" customHeight="1">
      <c r="A179" s="16" t="s">
        <v>239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220</v>
      </c>
      <c r="N179" s="23"/>
      <c r="O179" s="23"/>
      <c r="P179" s="31" t="s">
        <v>344</v>
      </c>
      <c r="Q179" s="31"/>
      <c r="R179" s="31"/>
      <c r="S179" s="31"/>
      <c r="T179" s="31"/>
      <c r="U179" s="24">
        <f>35300</f>
        <v>35300</v>
      </c>
      <c r="V179" s="24"/>
      <c r="W179" s="24"/>
      <c r="X179" s="25" t="s">
        <v>71</v>
      </c>
      <c r="Y179" s="25"/>
      <c r="Z179" s="25"/>
      <c r="AA179" s="25"/>
      <c r="AB179" s="24">
        <f>35300</f>
        <v>35300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35300</f>
        <v>35300</v>
      </c>
      <c r="AU179" s="24"/>
      <c r="AV179" s="24"/>
      <c r="AW179" s="25" t="s">
        <v>71</v>
      </c>
      <c r="AX179" s="25"/>
      <c r="AY179" s="24">
        <f>35300</f>
        <v>35300</v>
      </c>
      <c r="AZ179" s="24"/>
      <c r="BA179" s="25" t="s">
        <v>71</v>
      </c>
      <c r="BB179" s="25"/>
      <c r="BC179" s="25"/>
      <c r="BD179" s="24">
        <f>35300</f>
        <v>35300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35300</f>
        <v>35300</v>
      </c>
      <c r="BO179" s="24"/>
      <c r="BP179" s="24"/>
      <c r="BQ179" s="27" t="s">
        <v>71</v>
      </c>
    </row>
    <row r="180" spans="1:69" s="1" customFormat="1" ht="24" customHeight="1">
      <c r="A180" s="16" t="s">
        <v>241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220</v>
      </c>
      <c r="N180" s="23"/>
      <c r="O180" s="23"/>
      <c r="P180" s="31" t="s">
        <v>345</v>
      </c>
      <c r="Q180" s="31"/>
      <c r="R180" s="31"/>
      <c r="S180" s="31"/>
      <c r="T180" s="31"/>
      <c r="U180" s="24">
        <f>35300</f>
        <v>35300</v>
      </c>
      <c r="V180" s="24"/>
      <c r="W180" s="24"/>
      <c r="X180" s="25" t="s">
        <v>71</v>
      </c>
      <c r="Y180" s="25"/>
      <c r="Z180" s="25"/>
      <c r="AA180" s="25"/>
      <c r="AB180" s="24">
        <f>35300</f>
        <v>35300</v>
      </c>
      <c r="AC180" s="24"/>
      <c r="AD180" s="24"/>
      <c r="AE180" s="26" t="s">
        <v>71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35300</f>
        <v>35300</v>
      </c>
      <c r="AU180" s="24"/>
      <c r="AV180" s="24"/>
      <c r="AW180" s="25" t="s">
        <v>71</v>
      </c>
      <c r="AX180" s="25"/>
      <c r="AY180" s="24">
        <f>35300</f>
        <v>35300</v>
      </c>
      <c r="AZ180" s="24"/>
      <c r="BA180" s="25" t="s">
        <v>71</v>
      </c>
      <c r="BB180" s="25"/>
      <c r="BC180" s="25"/>
      <c r="BD180" s="24">
        <f>35300</f>
        <v>35300</v>
      </c>
      <c r="BE180" s="24"/>
      <c r="BF180" s="26" t="s">
        <v>71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35300</f>
        <v>35300</v>
      </c>
      <c r="BO180" s="24"/>
      <c r="BP180" s="24"/>
      <c r="BQ180" s="27" t="s">
        <v>71</v>
      </c>
    </row>
    <row r="181" spans="1:69" s="1" customFormat="1" ht="13.5" customHeight="1">
      <c r="A181" s="16" t="s">
        <v>243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220</v>
      </c>
      <c r="N181" s="23"/>
      <c r="O181" s="23"/>
      <c r="P181" s="31" t="s">
        <v>346</v>
      </c>
      <c r="Q181" s="31"/>
      <c r="R181" s="31"/>
      <c r="S181" s="31"/>
      <c r="T181" s="31"/>
      <c r="U181" s="24">
        <f>35300</f>
        <v>35300</v>
      </c>
      <c r="V181" s="24"/>
      <c r="W181" s="24"/>
      <c r="X181" s="25" t="s">
        <v>71</v>
      </c>
      <c r="Y181" s="25"/>
      <c r="Z181" s="25"/>
      <c r="AA181" s="25"/>
      <c r="AB181" s="24">
        <f>35300</f>
        <v>35300</v>
      </c>
      <c r="AC181" s="24"/>
      <c r="AD181" s="24"/>
      <c r="AE181" s="26" t="s">
        <v>71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35300</f>
        <v>35300</v>
      </c>
      <c r="AU181" s="24"/>
      <c r="AV181" s="24"/>
      <c r="AW181" s="25" t="s">
        <v>71</v>
      </c>
      <c r="AX181" s="25"/>
      <c r="AY181" s="24">
        <f>35300</f>
        <v>35300</v>
      </c>
      <c r="AZ181" s="24"/>
      <c r="BA181" s="25" t="s">
        <v>71</v>
      </c>
      <c r="BB181" s="25"/>
      <c r="BC181" s="25"/>
      <c r="BD181" s="24">
        <f>35300</f>
        <v>35300</v>
      </c>
      <c r="BE181" s="24"/>
      <c r="BF181" s="26" t="s">
        <v>71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35300</f>
        <v>35300</v>
      </c>
      <c r="BO181" s="24"/>
      <c r="BP181" s="24"/>
      <c r="BQ181" s="27" t="s">
        <v>71</v>
      </c>
    </row>
    <row r="182" spans="1:69" s="1" customFormat="1" ht="13.5" customHeight="1">
      <c r="A182" s="16" t="s">
        <v>347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220</v>
      </c>
      <c r="N182" s="23"/>
      <c r="O182" s="23"/>
      <c r="P182" s="31" t="s">
        <v>348</v>
      </c>
      <c r="Q182" s="31"/>
      <c r="R182" s="31"/>
      <c r="S182" s="31"/>
      <c r="T182" s="31"/>
      <c r="U182" s="24">
        <f>125500</f>
        <v>125500</v>
      </c>
      <c r="V182" s="24"/>
      <c r="W182" s="24"/>
      <c r="X182" s="25" t="s">
        <v>71</v>
      </c>
      <c r="Y182" s="25"/>
      <c r="Z182" s="25"/>
      <c r="AA182" s="25"/>
      <c r="AB182" s="24">
        <f>125500</f>
        <v>125500</v>
      </c>
      <c r="AC182" s="24"/>
      <c r="AD182" s="24"/>
      <c r="AE182" s="26" t="s">
        <v>71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125500</f>
        <v>125500</v>
      </c>
      <c r="AU182" s="24"/>
      <c r="AV182" s="24"/>
      <c r="AW182" s="25" t="s">
        <v>71</v>
      </c>
      <c r="AX182" s="25"/>
      <c r="AY182" s="24">
        <f>58930</f>
        <v>58930</v>
      </c>
      <c r="AZ182" s="24"/>
      <c r="BA182" s="25" t="s">
        <v>71</v>
      </c>
      <c r="BB182" s="25"/>
      <c r="BC182" s="25"/>
      <c r="BD182" s="24">
        <f>58930</f>
        <v>58930</v>
      </c>
      <c r="BE182" s="24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58930</f>
        <v>58930</v>
      </c>
      <c r="BO182" s="24"/>
      <c r="BP182" s="24"/>
      <c r="BQ182" s="27" t="s">
        <v>71</v>
      </c>
    </row>
    <row r="183" spans="1:69" s="1" customFormat="1" ht="24" customHeight="1">
      <c r="A183" s="16" t="s">
        <v>239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220</v>
      </c>
      <c r="N183" s="23"/>
      <c r="O183" s="23"/>
      <c r="P183" s="31" t="s">
        <v>349</v>
      </c>
      <c r="Q183" s="31"/>
      <c r="R183" s="31"/>
      <c r="S183" s="31"/>
      <c r="T183" s="31"/>
      <c r="U183" s="24">
        <f>125500</f>
        <v>125500</v>
      </c>
      <c r="V183" s="24"/>
      <c r="W183" s="24"/>
      <c r="X183" s="25" t="s">
        <v>71</v>
      </c>
      <c r="Y183" s="25"/>
      <c r="Z183" s="25"/>
      <c r="AA183" s="25"/>
      <c r="AB183" s="24">
        <f>125500</f>
        <v>125500</v>
      </c>
      <c r="AC183" s="24"/>
      <c r="AD183" s="24"/>
      <c r="AE183" s="26" t="s">
        <v>71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125500</f>
        <v>125500</v>
      </c>
      <c r="AU183" s="24"/>
      <c r="AV183" s="24"/>
      <c r="AW183" s="25" t="s">
        <v>71</v>
      </c>
      <c r="AX183" s="25"/>
      <c r="AY183" s="24">
        <f>58930</f>
        <v>58930</v>
      </c>
      <c r="AZ183" s="24"/>
      <c r="BA183" s="25" t="s">
        <v>71</v>
      </c>
      <c r="BB183" s="25"/>
      <c r="BC183" s="25"/>
      <c r="BD183" s="24">
        <f>58930</f>
        <v>58930</v>
      </c>
      <c r="BE183" s="24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58930</f>
        <v>58930</v>
      </c>
      <c r="BO183" s="24"/>
      <c r="BP183" s="24"/>
      <c r="BQ183" s="27" t="s">
        <v>71</v>
      </c>
    </row>
    <row r="184" spans="1:69" s="1" customFormat="1" ht="24" customHeight="1">
      <c r="A184" s="16" t="s">
        <v>241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220</v>
      </c>
      <c r="N184" s="23"/>
      <c r="O184" s="23"/>
      <c r="P184" s="31" t="s">
        <v>350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71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125500</f>
        <v>125500</v>
      </c>
      <c r="AU184" s="24"/>
      <c r="AV184" s="24"/>
      <c r="AW184" s="25" t="s">
        <v>71</v>
      </c>
      <c r="AX184" s="25"/>
      <c r="AY184" s="24">
        <f>58930</f>
        <v>58930</v>
      </c>
      <c r="AZ184" s="24"/>
      <c r="BA184" s="25" t="s">
        <v>71</v>
      </c>
      <c r="BB184" s="25"/>
      <c r="BC184" s="25"/>
      <c r="BD184" s="24">
        <f>58930</f>
        <v>58930</v>
      </c>
      <c r="BE184" s="24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58930</f>
        <v>58930</v>
      </c>
      <c r="BO184" s="24"/>
      <c r="BP184" s="24"/>
      <c r="BQ184" s="27" t="s">
        <v>71</v>
      </c>
    </row>
    <row r="185" spans="1:69" s="1" customFormat="1" ht="13.5" customHeight="1">
      <c r="A185" s="16" t="s">
        <v>243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220</v>
      </c>
      <c r="N185" s="23"/>
      <c r="O185" s="23"/>
      <c r="P185" s="31" t="s">
        <v>351</v>
      </c>
      <c r="Q185" s="31"/>
      <c r="R185" s="31"/>
      <c r="S185" s="31"/>
      <c r="T185" s="31"/>
      <c r="U185" s="24">
        <f>125500</f>
        <v>125500</v>
      </c>
      <c r="V185" s="24"/>
      <c r="W185" s="24"/>
      <c r="X185" s="25" t="s">
        <v>71</v>
      </c>
      <c r="Y185" s="25"/>
      <c r="Z185" s="25"/>
      <c r="AA185" s="25"/>
      <c r="AB185" s="24">
        <f>125500</f>
        <v>125500</v>
      </c>
      <c r="AC185" s="24"/>
      <c r="AD185" s="24"/>
      <c r="AE185" s="26" t="s">
        <v>71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125500</f>
        <v>125500</v>
      </c>
      <c r="AU185" s="24"/>
      <c r="AV185" s="24"/>
      <c r="AW185" s="25" t="s">
        <v>71</v>
      </c>
      <c r="AX185" s="25"/>
      <c r="AY185" s="24">
        <f>58930</f>
        <v>58930</v>
      </c>
      <c r="AZ185" s="24"/>
      <c r="BA185" s="25" t="s">
        <v>71</v>
      </c>
      <c r="BB185" s="25"/>
      <c r="BC185" s="25"/>
      <c r="BD185" s="24">
        <f>58930</f>
        <v>58930</v>
      </c>
      <c r="BE185" s="24"/>
      <c r="BF185" s="26" t="s">
        <v>71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58930</f>
        <v>58930</v>
      </c>
      <c r="BO185" s="24"/>
      <c r="BP185" s="24"/>
      <c r="BQ185" s="27" t="s">
        <v>71</v>
      </c>
    </row>
    <row r="186" spans="1:69" s="1" customFormat="1" ht="13.5" customHeight="1">
      <c r="A186" s="16" t="s">
        <v>352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220</v>
      </c>
      <c r="N186" s="23"/>
      <c r="O186" s="23"/>
      <c r="P186" s="31" t="s">
        <v>353</v>
      </c>
      <c r="Q186" s="31"/>
      <c r="R186" s="31"/>
      <c r="S186" s="31"/>
      <c r="T186" s="31"/>
      <c r="U186" s="24">
        <f>85000</f>
        <v>85000</v>
      </c>
      <c r="V186" s="24"/>
      <c r="W186" s="24"/>
      <c r="X186" s="25" t="s">
        <v>71</v>
      </c>
      <c r="Y186" s="25"/>
      <c r="Z186" s="25"/>
      <c r="AA186" s="25"/>
      <c r="AB186" s="24">
        <f>85000</f>
        <v>85000</v>
      </c>
      <c r="AC186" s="24"/>
      <c r="AD186" s="24"/>
      <c r="AE186" s="28">
        <f>56233</f>
        <v>56233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141233</f>
        <v>141233</v>
      </c>
      <c r="AU186" s="24"/>
      <c r="AV186" s="24"/>
      <c r="AW186" s="25" t="s">
        <v>71</v>
      </c>
      <c r="AX186" s="25"/>
      <c r="AY186" s="24">
        <f>102113.75</f>
        <v>102113.75</v>
      </c>
      <c r="AZ186" s="24"/>
      <c r="BA186" s="25" t="s">
        <v>71</v>
      </c>
      <c r="BB186" s="25"/>
      <c r="BC186" s="25"/>
      <c r="BD186" s="24">
        <f>102113.75</f>
        <v>102113.75</v>
      </c>
      <c r="BE186" s="24"/>
      <c r="BF186" s="28">
        <f>0</f>
        <v>0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102113.75</f>
        <v>102113.75</v>
      </c>
      <c r="BO186" s="24"/>
      <c r="BP186" s="24"/>
      <c r="BQ186" s="27" t="s">
        <v>71</v>
      </c>
    </row>
    <row r="187" spans="1:69" s="1" customFormat="1" ht="13.5" customHeight="1">
      <c r="A187" s="16" t="s">
        <v>354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220</v>
      </c>
      <c r="N187" s="23"/>
      <c r="O187" s="23"/>
      <c r="P187" s="31" t="s">
        <v>355</v>
      </c>
      <c r="Q187" s="31"/>
      <c r="R187" s="31"/>
      <c r="S187" s="31"/>
      <c r="T187" s="31"/>
      <c r="U187" s="24">
        <f>85000</f>
        <v>85000</v>
      </c>
      <c r="V187" s="24"/>
      <c r="W187" s="24"/>
      <c r="X187" s="25" t="s">
        <v>71</v>
      </c>
      <c r="Y187" s="25"/>
      <c r="Z187" s="25"/>
      <c r="AA187" s="25"/>
      <c r="AB187" s="24">
        <f>85000</f>
        <v>85000</v>
      </c>
      <c r="AC187" s="24"/>
      <c r="AD187" s="24"/>
      <c r="AE187" s="28">
        <f>49402</f>
        <v>49402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134402</f>
        <v>134402</v>
      </c>
      <c r="AU187" s="24"/>
      <c r="AV187" s="24"/>
      <c r="AW187" s="25" t="s">
        <v>71</v>
      </c>
      <c r="AX187" s="25"/>
      <c r="AY187" s="24">
        <f>95282.75</f>
        <v>95282.75</v>
      </c>
      <c r="AZ187" s="24"/>
      <c r="BA187" s="25" t="s">
        <v>71</v>
      </c>
      <c r="BB187" s="25"/>
      <c r="BC187" s="25"/>
      <c r="BD187" s="24">
        <f>95282.75</f>
        <v>95282.75</v>
      </c>
      <c r="BE187" s="24"/>
      <c r="BF187" s="28">
        <f>0</f>
        <v>0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95282.75</f>
        <v>95282.75</v>
      </c>
      <c r="BO187" s="24"/>
      <c r="BP187" s="24"/>
      <c r="BQ187" s="27" t="s">
        <v>71</v>
      </c>
    </row>
    <row r="188" spans="1:69" s="1" customFormat="1" ht="24" customHeight="1">
      <c r="A188" s="16" t="s">
        <v>239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220</v>
      </c>
      <c r="N188" s="23"/>
      <c r="O188" s="23"/>
      <c r="P188" s="31" t="s">
        <v>356</v>
      </c>
      <c r="Q188" s="31"/>
      <c r="R188" s="31"/>
      <c r="S188" s="31"/>
      <c r="T188" s="31"/>
      <c r="U188" s="24">
        <f>85000</f>
        <v>85000</v>
      </c>
      <c r="V188" s="24"/>
      <c r="W188" s="24"/>
      <c r="X188" s="25" t="s">
        <v>71</v>
      </c>
      <c r="Y188" s="25"/>
      <c r="Z188" s="25"/>
      <c r="AA188" s="25"/>
      <c r="AB188" s="24">
        <f>85000</f>
        <v>85000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85000</f>
        <v>85000</v>
      </c>
      <c r="AU188" s="24"/>
      <c r="AV188" s="24"/>
      <c r="AW188" s="25" t="s">
        <v>71</v>
      </c>
      <c r="AX188" s="25"/>
      <c r="AY188" s="24">
        <f>45880.75</f>
        <v>45880.75</v>
      </c>
      <c r="AZ188" s="24"/>
      <c r="BA188" s="25" t="s">
        <v>71</v>
      </c>
      <c r="BB188" s="25"/>
      <c r="BC188" s="25"/>
      <c r="BD188" s="24">
        <f>45880.75</f>
        <v>45880.75</v>
      </c>
      <c r="BE188" s="24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45880.75</f>
        <v>45880.75</v>
      </c>
      <c r="BO188" s="24"/>
      <c r="BP188" s="24"/>
      <c r="BQ188" s="27" t="s">
        <v>71</v>
      </c>
    </row>
    <row r="189" spans="1:69" s="1" customFormat="1" ht="24" customHeight="1">
      <c r="A189" s="16" t="s">
        <v>241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220</v>
      </c>
      <c r="N189" s="23"/>
      <c r="O189" s="23"/>
      <c r="P189" s="31" t="s">
        <v>357</v>
      </c>
      <c r="Q189" s="31"/>
      <c r="R189" s="31"/>
      <c r="S189" s="31"/>
      <c r="T189" s="31"/>
      <c r="U189" s="24">
        <f>85000</f>
        <v>85000</v>
      </c>
      <c r="V189" s="24"/>
      <c r="W189" s="24"/>
      <c r="X189" s="25" t="s">
        <v>71</v>
      </c>
      <c r="Y189" s="25"/>
      <c r="Z189" s="25"/>
      <c r="AA189" s="25"/>
      <c r="AB189" s="24">
        <f>85000</f>
        <v>85000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85000</f>
        <v>85000</v>
      </c>
      <c r="AU189" s="24"/>
      <c r="AV189" s="24"/>
      <c r="AW189" s="25" t="s">
        <v>71</v>
      </c>
      <c r="AX189" s="25"/>
      <c r="AY189" s="24">
        <f>45880.75</f>
        <v>45880.75</v>
      </c>
      <c r="AZ189" s="24"/>
      <c r="BA189" s="25" t="s">
        <v>71</v>
      </c>
      <c r="BB189" s="25"/>
      <c r="BC189" s="25"/>
      <c r="BD189" s="24">
        <f>45880.75</f>
        <v>45880.75</v>
      </c>
      <c r="BE189" s="24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45880.75</f>
        <v>45880.75</v>
      </c>
      <c r="BO189" s="24"/>
      <c r="BP189" s="24"/>
      <c r="BQ189" s="27" t="s">
        <v>71</v>
      </c>
    </row>
    <row r="190" spans="1:69" s="1" customFormat="1" ht="13.5" customHeight="1">
      <c r="A190" s="16" t="s">
        <v>243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220</v>
      </c>
      <c r="N190" s="23"/>
      <c r="O190" s="23"/>
      <c r="P190" s="31" t="s">
        <v>358</v>
      </c>
      <c r="Q190" s="31"/>
      <c r="R190" s="31"/>
      <c r="S190" s="31"/>
      <c r="T190" s="31"/>
      <c r="U190" s="24">
        <f>85000</f>
        <v>85000</v>
      </c>
      <c r="V190" s="24"/>
      <c r="W190" s="24"/>
      <c r="X190" s="25" t="s">
        <v>71</v>
      </c>
      <c r="Y190" s="25"/>
      <c r="Z190" s="25"/>
      <c r="AA190" s="25"/>
      <c r="AB190" s="24">
        <f>85000</f>
        <v>85000</v>
      </c>
      <c r="AC190" s="24"/>
      <c r="AD190" s="24"/>
      <c r="AE190" s="26" t="s">
        <v>71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85000</f>
        <v>85000</v>
      </c>
      <c r="AU190" s="24"/>
      <c r="AV190" s="24"/>
      <c r="AW190" s="25" t="s">
        <v>71</v>
      </c>
      <c r="AX190" s="25"/>
      <c r="AY190" s="24">
        <f>45880.75</f>
        <v>45880.75</v>
      </c>
      <c r="AZ190" s="24"/>
      <c r="BA190" s="25" t="s">
        <v>71</v>
      </c>
      <c r="BB190" s="25"/>
      <c r="BC190" s="25"/>
      <c r="BD190" s="24">
        <f>45880.75</f>
        <v>45880.75</v>
      </c>
      <c r="BE190" s="24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45880.75</f>
        <v>45880.75</v>
      </c>
      <c r="BO190" s="24"/>
      <c r="BP190" s="24"/>
      <c r="BQ190" s="27" t="s">
        <v>71</v>
      </c>
    </row>
    <row r="191" spans="1:69" s="1" customFormat="1" ht="13.5" customHeight="1">
      <c r="A191" s="16" t="s">
        <v>247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220</v>
      </c>
      <c r="N191" s="23"/>
      <c r="O191" s="23"/>
      <c r="P191" s="31" t="s">
        <v>359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71</v>
      </c>
      <c r="Y191" s="25"/>
      <c r="Z191" s="25"/>
      <c r="AA191" s="25"/>
      <c r="AB191" s="24">
        <f>0</f>
        <v>0</v>
      </c>
      <c r="AC191" s="24"/>
      <c r="AD191" s="24"/>
      <c r="AE191" s="28">
        <f>49402</f>
        <v>49402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49402</f>
        <v>49402</v>
      </c>
      <c r="AU191" s="24"/>
      <c r="AV191" s="24"/>
      <c r="AW191" s="25" t="s">
        <v>71</v>
      </c>
      <c r="AX191" s="25"/>
      <c r="AY191" s="24">
        <f>49402</f>
        <v>49402</v>
      </c>
      <c r="AZ191" s="24"/>
      <c r="BA191" s="25" t="s">
        <v>71</v>
      </c>
      <c r="BB191" s="25"/>
      <c r="BC191" s="25"/>
      <c r="BD191" s="24">
        <f>49402</f>
        <v>49402</v>
      </c>
      <c r="BE191" s="24"/>
      <c r="BF191" s="28">
        <f aca="true" t="shared" si="3" ref="BF191:BF196">0</f>
        <v>0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4">
        <f>49402</f>
        <v>49402</v>
      </c>
      <c r="BO191" s="24"/>
      <c r="BP191" s="24"/>
      <c r="BQ191" s="27" t="s">
        <v>71</v>
      </c>
    </row>
    <row r="192" spans="1:69" s="1" customFormat="1" ht="13.5" customHeight="1">
      <c r="A192" s="16" t="s">
        <v>249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220</v>
      </c>
      <c r="N192" s="23"/>
      <c r="O192" s="23"/>
      <c r="P192" s="31" t="s">
        <v>360</v>
      </c>
      <c r="Q192" s="31"/>
      <c r="R192" s="31"/>
      <c r="S192" s="31"/>
      <c r="T192" s="31"/>
      <c r="U192" s="24">
        <f>0</f>
        <v>0</v>
      </c>
      <c r="V192" s="24"/>
      <c r="W192" s="24"/>
      <c r="X192" s="25" t="s">
        <v>71</v>
      </c>
      <c r="Y192" s="25"/>
      <c r="Z192" s="25"/>
      <c r="AA192" s="25"/>
      <c r="AB192" s="24">
        <f>0</f>
        <v>0</v>
      </c>
      <c r="AC192" s="24"/>
      <c r="AD192" s="24"/>
      <c r="AE192" s="28">
        <f>49402</f>
        <v>49402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49402</f>
        <v>49402</v>
      </c>
      <c r="AU192" s="24"/>
      <c r="AV192" s="24"/>
      <c r="AW192" s="25" t="s">
        <v>71</v>
      </c>
      <c r="AX192" s="25"/>
      <c r="AY192" s="24">
        <f>49402</f>
        <v>49402</v>
      </c>
      <c r="AZ192" s="24"/>
      <c r="BA192" s="25" t="s">
        <v>71</v>
      </c>
      <c r="BB192" s="25"/>
      <c r="BC192" s="25"/>
      <c r="BD192" s="24">
        <f>49402</f>
        <v>49402</v>
      </c>
      <c r="BE192" s="24"/>
      <c r="BF192" s="28">
        <f t="shared" si="3"/>
        <v>0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4">
        <f>49402</f>
        <v>49402</v>
      </c>
      <c r="BO192" s="24"/>
      <c r="BP192" s="24"/>
      <c r="BQ192" s="27" t="s">
        <v>71</v>
      </c>
    </row>
    <row r="193" spans="1:69" s="1" customFormat="1" ht="13.5" customHeight="1">
      <c r="A193" s="16" t="s">
        <v>361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220</v>
      </c>
      <c r="N193" s="23"/>
      <c r="O193" s="23"/>
      <c r="P193" s="31" t="s">
        <v>362</v>
      </c>
      <c r="Q193" s="31"/>
      <c r="R193" s="31"/>
      <c r="S193" s="31"/>
      <c r="T193" s="31"/>
      <c r="U193" s="24">
        <f>0</f>
        <v>0</v>
      </c>
      <c r="V193" s="24"/>
      <c r="W193" s="24"/>
      <c r="X193" s="25" t="s">
        <v>71</v>
      </c>
      <c r="Y193" s="25"/>
      <c r="Z193" s="25"/>
      <c r="AA193" s="25"/>
      <c r="AB193" s="24">
        <f>0</f>
        <v>0</v>
      </c>
      <c r="AC193" s="24"/>
      <c r="AD193" s="24"/>
      <c r="AE193" s="28">
        <f>6831</f>
        <v>6831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6831</f>
        <v>6831</v>
      </c>
      <c r="AU193" s="24"/>
      <c r="AV193" s="24"/>
      <c r="AW193" s="25" t="s">
        <v>71</v>
      </c>
      <c r="AX193" s="25"/>
      <c r="AY193" s="24">
        <f>6831</f>
        <v>6831</v>
      </c>
      <c r="AZ193" s="24"/>
      <c r="BA193" s="25" t="s">
        <v>71</v>
      </c>
      <c r="BB193" s="25"/>
      <c r="BC193" s="25"/>
      <c r="BD193" s="24">
        <f>6831</f>
        <v>6831</v>
      </c>
      <c r="BE193" s="24"/>
      <c r="BF193" s="28">
        <f t="shared" si="3"/>
        <v>0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6831</f>
        <v>6831</v>
      </c>
      <c r="BO193" s="24"/>
      <c r="BP193" s="24"/>
      <c r="BQ193" s="27" t="s">
        <v>71</v>
      </c>
    </row>
    <row r="194" spans="1:69" s="1" customFormat="1" ht="13.5" customHeight="1">
      <c r="A194" s="16" t="s">
        <v>247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220</v>
      </c>
      <c r="N194" s="23"/>
      <c r="O194" s="23"/>
      <c r="P194" s="31" t="s">
        <v>363</v>
      </c>
      <c r="Q194" s="31"/>
      <c r="R194" s="31"/>
      <c r="S194" s="31"/>
      <c r="T194" s="31"/>
      <c r="U194" s="24">
        <f>0</f>
        <v>0</v>
      </c>
      <c r="V194" s="24"/>
      <c r="W194" s="24"/>
      <c r="X194" s="25" t="s">
        <v>71</v>
      </c>
      <c r="Y194" s="25"/>
      <c r="Z194" s="25"/>
      <c r="AA194" s="25"/>
      <c r="AB194" s="24">
        <f>0</f>
        <v>0</v>
      </c>
      <c r="AC194" s="24"/>
      <c r="AD194" s="24"/>
      <c r="AE194" s="28">
        <f>6831</f>
        <v>6831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6831</f>
        <v>6831</v>
      </c>
      <c r="AU194" s="24"/>
      <c r="AV194" s="24"/>
      <c r="AW194" s="25" t="s">
        <v>71</v>
      </c>
      <c r="AX194" s="25"/>
      <c r="AY194" s="24">
        <f>6831</f>
        <v>6831</v>
      </c>
      <c r="AZ194" s="24"/>
      <c r="BA194" s="25" t="s">
        <v>71</v>
      </c>
      <c r="BB194" s="25"/>
      <c r="BC194" s="25"/>
      <c r="BD194" s="24">
        <f>6831</f>
        <v>6831</v>
      </c>
      <c r="BE194" s="24"/>
      <c r="BF194" s="28">
        <f t="shared" si="3"/>
        <v>0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6831</f>
        <v>6831</v>
      </c>
      <c r="BO194" s="24"/>
      <c r="BP194" s="24"/>
      <c r="BQ194" s="27" t="s">
        <v>71</v>
      </c>
    </row>
    <row r="195" spans="1:69" s="1" customFormat="1" ht="13.5" customHeight="1">
      <c r="A195" s="16" t="s">
        <v>249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220</v>
      </c>
      <c r="N195" s="23"/>
      <c r="O195" s="23"/>
      <c r="P195" s="31" t="s">
        <v>364</v>
      </c>
      <c r="Q195" s="31"/>
      <c r="R195" s="31"/>
      <c r="S195" s="31"/>
      <c r="T195" s="31"/>
      <c r="U195" s="24">
        <f>0</f>
        <v>0</v>
      </c>
      <c r="V195" s="24"/>
      <c r="W195" s="24"/>
      <c r="X195" s="25" t="s">
        <v>71</v>
      </c>
      <c r="Y195" s="25"/>
      <c r="Z195" s="25"/>
      <c r="AA195" s="25"/>
      <c r="AB195" s="24">
        <f>0</f>
        <v>0</v>
      </c>
      <c r="AC195" s="24"/>
      <c r="AD195" s="24"/>
      <c r="AE195" s="28">
        <f>6831</f>
        <v>6831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6831</f>
        <v>6831</v>
      </c>
      <c r="AU195" s="24"/>
      <c r="AV195" s="24"/>
      <c r="AW195" s="25" t="s">
        <v>71</v>
      </c>
      <c r="AX195" s="25"/>
      <c r="AY195" s="24">
        <f>6831</f>
        <v>6831</v>
      </c>
      <c r="AZ195" s="24"/>
      <c r="BA195" s="25" t="s">
        <v>71</v>
      </c>
      <c r="BB195" s="25"/>
      <c r="BC195" s="25"/>
      <c r="BD195" s="24">
        <f>6831</f>
        <v>6831</v>
      </c>
      <c r="BE195" s="24"/>
      <c r="BF195" s="28">
        <f t="shared" si="3"/>
        <v>0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6831</f>
        <v>6831</v>
      </c>
      <c r="BO195" s="24"/>
      <c r="BP195" s="24"/>
      <c r="BQ195" s="27" t="s">
        <v>71</v>
      </c>
    </row>
    <row r="196" spans="1:69" s="1" customFormat="1" ht="13.5" customHeight="1">
      <c r="A196" s="16" t="s">
        <v>365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220</v>
      </c>
      <c r="N196" s="23"/>
      <c r="O196" s="23"/>
      <c r="P196" s="31" t="s">
        <v>366</v>
      </c>
      <c r="Q196" s="31"/>
      <c r="R196" s="31"/>
      <c r="S196" s="31"/>
      <c r="T196" s="31"/>
      <c r="U196" s="24">
        <f>241544.53</f>
        <v>241544.53</v>
      </c>
      <c r="V196" s="24"/>
      <c r="W196" s="24"/>
      <c r="X196" s="25" t="s">
        <v>71</v>
      </c>
      <c r="Y196" s="25"/>
      <c r="Z196" s="25"/>
      <c r="AA196" s="25"/>
      <c r="AB196" s="24">
        <f>241544.53</f>
        <v>241544.53</v>
      </c>
      <c r="AC196" s="24"/>
      <c r="AD196" s="24"/>
      <c r="AE196" s="28">
        <f>442753.71</f>
        <v>442753.71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684298.24</f>
        <v>684298.24</v>
      </c>
      <c r="AU196" s="24"/>
      <c r="AV196" s="24"/>
      <c r="AW196" s="25" t="s">
        <v>71</v>
      </c>
      <c r="AX196" s="25"/>
      <c r="AY196" s="24">
        <f>607979.95</f>
        <v>607979.95</v>
      </c>
      <c r="AZ196" s="24"/>
      <c r="BA196" s="25" t="s">
        <v>71</v>
      </c>
      <c r="BB196" s="25"/>
      <c r="BC196" s="25"/>
      <c r="BD196" s="24">
        <f>607979.95</f>
        <v>607979.95</v>
      </c>
      <c r="BE196" s="24"/>
      <c r="BF196" s="28">
        <f t="shared" si="3"/>
        <v>0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607979.95</f>
        <v>607979.95</v>
      </c>
      <c r="BO196" s="24"/>
      <c r="BP196" s="24"/>
      <c r="BQ196" s="27" t="s">
        <v>71</v>
      </c>
    </row>
    <row r="197" spans="1:69" s="1" customFormat="1" ht="13.5" customHeight="1">
      <c r="A197" s="16" t="s">
        <v>367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220</v>
      </c>
      <c r="N197" s="23"/>
      <c r="O197" s="23"/>
      <c r="P197" s="31" t="s">
        <v>368</v>
      </c>
      <c r="Q197" s="31"/>
      <c r="R197" s="31"/>
      <c r="S197" s="31"/>
      <c r="T197" s="31"/>
      <c r="U197" s="24">
        <f>155226.24</f>
        <v>155226.24</v>
      </c>
      <c r="V197" s="24"/>
      <c r="W197" s="24"/>
      <c r="X197" s="25" t="s">
        <v>71</v>
      </c>
      <c r="Y197" s="25"/>
      <c r="Z197" s="25"/>
      <c r="AA197" s="25"/>
      <c r="AB197" s="24">
        <f>155226.24</f>
        <v>155226.24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155226.24</f>
        <v>155226.24</v>
      </c>
      <c r="AU197" s="24"/>
      <c r="AV197" s="24"/>
      <c r="AW197" s="25" t="s">
        <v>71</v>
      </c>
      <c r="AX197" s="25"/>
      <c r="AY197" s="24">
        <f>155226.24</f>
        <v>155226.24</v>
      </c>
      <c r="AZ197" s="24"/>
      <c r="BA197" s="25" t="s">
        <v>71</v>
      </c>
      <c r="BB197" s="25"/>
      <c r="BC197" s="25"/>
      <c r="BD197" s="24">
        <f>155226.24</f>
        <v>155226.24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155226.24</f>
        <v>155226.24</v>
      </c>
      <c r="BO197" s="24"/>
      <c r="BP197" s="24"/>
      <c r="BQ197" s="27" t="s">
        <v>71</v>
      </c>
    </row>
    <row r="198" spans="1:69" s="1" customFormat="1" ht="13.5" customHeight="1">
      <c r="A198" s="16" t="s">
        <v>369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220</v>
      </c>
      <c r="N198" s="23"/>
      <c r="O198" s="23"/>
      <c r="P198" s="31" t="s">
        <v>370</v>
      </c>
      <c r="Q198" s="31"/>
      <c r="R198" s="31"/>
      <c r="S198" s="31"/>
      <c r="T198" s="31"/>
      <c r="U198" s="24">
        <f>155226.24</f>
        <v>155226.24</v>
      </c>
      <c r="V198" s="24"/>
      <c r="W198" s="24"/>
      <c r="X198" s="25" t="s">
        <v>71</v>
      </c>
      <c r="Y198" s="25"/>
      <c r="Z198" s="25"/>
      <c r="AA198" s="25"/>
      <c r="AB198" s="24">
        <f>155226.24</f>
        <v>155226.24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155226.24</f>
        <v>155226.24</v>
      </c>
      <c r="AU198" s="24"/>
      <c r="AV198" s="24"/>
      <c r="AW198" s="25" t="s">
        <v>71</v>
      </c>
      <c r="AX198" s="25"/>
      <c r="AY198" s="24">
        <f>155226.24</f>
        <v>155226.24</v>
      </c>
      <c r="AZ198" s="24"/>
      <c r="BA198" s="25" t="s">
        <v>71</v>
      </c>
      <c r="BB198" s="25"/>
      <c r="BC198" s="25"/>
      <c r="BD198" s="24">
        <f>155226.24</f>
        <v>155226.24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155226.24</f>
        <v>155226.24</v>
      </c>
      <c r="BO198" s="24"/>
      <c r="BP198" s="24"/>
      <c r="BQ198" s="27" t="s">
        <v>71</v>
      </c>
    </row>
    <row r="199" spans="1:69" s="1" customFormat="1" ht="24" customHeight="1">
      <c r="A199" s="16" t="s">
        <v>371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220</v>
      </c>
      <c r="N199" s="23"/>
      <c r="O199" s="23"/>
      <c r="P199" s="31" t="s">
        <v>372</v>
      </c>
      <c r="Q199" s="31"/>
      <c r="R199" s="31"/>
      <c r="S199" s="31"/>
      <c r="T199" s="31"/>
      <c r="U199" s="24">
        <f>155226.24</f>
        <v>155226.24</v>
      </c>
      <c r="V199" s="24"/>
      <c r="W199" s="24"/>
      <c r="X199" s="25" t="s">
        <v>71</v>
      </c>
      <c r="Y199" s="25"/>
      <c r="Z199" s="25"/>
      <c r="AA199" s="25"/>
      <c r="AB199" s="24">
        <f>155226.24</f>
        <v>155226.24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155226.24</f>
        <v>155226.24</v>
      </c>
      <c r="AU199" s="24"/>
      <c r="AV199" s="24"/>
      <c r="AW199" s="25" t="s">
        <v>71</v>
      </c>
      <c r="AX199" s="25"/>
      <c r="AY199" s="24">
        <f>155226.24</f>
        <v>155226.24</v>
      </c>
      <c r="AZ199" s="24"/>
      <c r="BA199" s="25" t="s">
        <v>71</v>
      </c>
      <c r="BB199" s="25"/>
      <c r="BC199" s="25"/>
      <c r="BD199" s="24">
        <f>155226.24</f>
        <v>155226.24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155226.24</f>
        <v>155226.24</v>
      </c>
      <c r="BO199" s="24"/>
      <c r="BP199" s="24"/>
      <c r="BQ199" s="27" t="s">
        <v>71</v>
      </c>
    </row>
    <row r="200" spans="1:69" s="1" customFormat="1" ht="13.5" customHeight="1">
      <c r="A200" s="16" t="s">
        <v>373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220</v>
      </c>
      <c r="N200" s="23"/>
      <c r="O200" s="23"/>
      <c r="P200" s="31" t="s">
        <v>374</v>
      </c>
      <c r="Q200" s="31"/>
      <c r="R200" s="31"/>
      <c r="S200" s="31"/>
      <c r="T200" s="31"/>
      <c r="U200" s="24">
        <f>155226.24</f>
        <v>155226.24</v>
      </c>
      <c r="V200" s="24"/>
      <c r="W200" s="24"/>
      <c r="X200" s="25" t="s">
        <v>71</v>
      </c>
      <c r="Y200" s="25"/>
      <c r="Z200" s="25"/>
      <c r="AA200" s="25"/>
      <c r="AB200" s="24">
        <f>155226.24</f>
        <v>155226.24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155226.24</f>
        <v>155226.24</v>
      </c>
      <c r="AU200" s="24"/>
      <c r="AV200" s="24"/>
      <c r="AW200" s="25" t="s">
        <v>71</v>
      </c>
      <c r="AX200" s="25"/>
      <c r="AY200" s="24">
        <f>155226.24</f>
        <v>155226.24</v>
      </c>
      <c r="AZ200" s="24"/>
      <c r="BA200" s="25" t="s">
        <v>71</v>
      </c>
      <c r="BB200" s="25"/>
      <c r="BC200" s="25"/>
      <c r="BD200" s="24">
        <f>155226.24</f>
        <v>155226.24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155226.24</f>
        <v>155226.24</v>
      </c>
      <c r="BO200" s="24"/>
      <c r="BP200" s="24"/>
      <c r="BQ200" s="27" t="s">
        <v>71</v>
      </c>
    </row>
    <row r="201" spans="1:69" s="1" customFormat="1" ht="13.5" customHeight="1">
      <c r="A201" s="16" t="s">
        <v>375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220</v>
      </c>
      <c r="N201" s="23"/>
      <c r="O201" s="23"/>
      <c r="P201" s="31" t="s">
        <v>376</v>
      </c>
      <c r="Q201" s="31"/>
      <c r="R201" s="31"/>
      <c r="S201" s="31"/>
      <c r="T201" s="31"/>
      <c r="U201" s="24">
        <f>76318.29</f>
        <v>76318.29</v>
      </c>
      <c r="V201" s="24"/>
      <c r="W201" s="24"/>
      <c r="X201" s="25" t="s">
        <v>71</v>
      </c>
      <c r="Y201" s="25"/>
      <c r="Z201" s="25"/>
      <c r="AA201" s="25"/>
      <c r="AB201" s="24">
        <f>76318.29</f>
        <v>76318.29</v>
      </c>
      <c r="AC201" s="24"/>
      <c r="AD201" s="24"/>
      <c r="AE201" s="28">
        <f>442753.71</f>
        <v>442753.71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519072</f>
        <v>519072</v>
      </c>
      <c r="AU201" s="24"/>
      <c r="AV201" s="24"/>
      <c r="AW201" s="25" t="s">
        <v>71</v>
      </c>
      <c r="AX201" s="25"/>
      <c r="AY201" s="24">
        <f>442753.71</f>
        <v>442753.71</v>
      </c>
      <c r="AZ201" s="24"/>
      <c r="BA201" s="25" t="s">
        <v>71</v>
      </c>
      <c r="BB201" s="25"/>
      <c r="BC201" s="25"/>
      <c r="BD201" s="24">
        <f>442753.71</f>
        <v>442753.71</v>
      </c>
      <c r="BE201" s="24"/>
      <c r="BF201" s="28">
        <f>0</f>
        <v>0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442753.71</f>
        <v>442753.71</v>
      </c>
      <c r="BO201" s="24"/>
      <c r="BP201" s="24"/>
      <c r="BQ201" s="27" t="s">
        <v>71</v>
      </c>
    </row>
    <row r="202" spans="1:69" s="1" customFormat="1" ht="13.5" customHeight="1">
      <c r="A202" s="16" t="s">
        <v>369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220</v>
      </c>
      <c r="N202" s="23"/>
      <c r="O202" s="23"/>
      <c r="P202" s="31" t="s">
        <v>377</v>
      </c>
      <c r="Q202" s="31"/>
      <c r="R202" s="31"/>
      <c r="S202" s="31"/>
      <c r="T202" s="31"/>
      <c r="U202" s="24">
        <f>76318.29</f>
        <v>76318.29</v>
      </c>
      <c r="V202" s="24"/>
      <c r="W202" s="24"/>
      <c r="X202" s="25" t="s">
        <v>71</v>
      </c>
      <c r="Y202" s="25"/>
      <c r="Z202" s="25"/>
      <c r="AA202" s="25"/>
      <c r="AB202" s="24">
        <f>76318.29</f>
        <v>76318.29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76318.29</f>
        <v>76318.29</v>
      </c>
      <c r="AU202" s="24"/>
      <c r="AV202" s="24"/>
      <c r="AW202" s="25" t="s">
        <v>71</v>
      </c>
      <c r="AX202" s="25"/>
      <c r="AY202" s="25" t="s">
        <v>71</v>
      </c>
      <c r="AZ202" s="25"/>
      <c r="BA202" s="25" t="s">
        <v>71</v>
      </c>
      <c r="BB202" s="25"/>
      <c r="BC202" s="25"/>
      <c r="BD202" s="25" t="s">
        <v>71</v>
      </c>
      <c r="BE202" s="25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5" t="s">
        <v>71</v>
      </c>
      <c r="BO202" s="25"/>
      <c r="BP202" s="25"/>
      <c r="BQ202" s="27" t="s">
        <v>71</v>
      </c>
    </row>
    <row r="203" spans="1:69" s="1" customFormat="1" ht="24" customHeight="1">
      <c r="A203" s="16" t="s">
        <v>378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220</v>
      </c>
      <c r="N203" s="23"/>
      <c r="O203" s="23"/>
      <c r="P203" s="31" t="s">
        <v>379</v>
      </c>
      <c r="Q203" s="31"/>
      <c r="R203" s="31"/>
      <c r="S203" s="31"/>
      <c r="T203" s="31"/>
      <c r="U203" s="24">
        <f>76318.29</f>
        <v>76318.29</v>
      </c>
      <c r="V203" s="24"/>
      <c r="W203" s="24"/>
      <c r="X203" s="25" t="s">
        <v>71</v>
      </c>
      <c r="Y203" s="25"/>
      <c r="Z203" s="25"/>
      <c r="AA203" s="25"/>
      <c r="AB203" s="24">
        <f>76318.29</f>
        <v>76318.29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76318.29</f>
        <v>76318.29</v>
      </c>
      <c r="AU203" s="24"/>
      <c r="AV203" s="24"/>
      <c r="AW203" s="25" t="s">
        <v>71</v>
      </c>
      <c r="AX203" s="25"/>
      <c r="AY203" s="25" t="s">
        <v>71</v>
      </c>
      <c r="AZ203" s="25"/>
      <c r="BA203" s="25" t="s">
        <v>71</v>
      </c>
      <c r="BB203" s="25"/>
      <c r="BC203" s="25"/>
      <c r="BD203" s="25" t="s">
        <v>71</v>
      </c>
      <c r="BE203" s="25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5" t="s">
        <v>71</v>
      </c>
      <c r="BO203" s="25"/>
      <c r="BP203" s="25"/>
      <c r="BQ203" s="27" t="s">
        <v>71</v>
      </c>
    </row>
    <row r="204" spans="1:69" s="1" customFormat="1" ht="13.5" customHeight="1">
      <c r="A204" s="16" t="s">
        <v>380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220</v>
      </c>
      <c r="N204" s="23"/>
      <c r="O204" s="23"/>
      <c r="P204" s="31" t="s">
        <v>381</v>
      </c>
      <c r="Q204" s="31"/>
      <c r="R204" s="31"/>
      <c r="S204" s="31"/>
      <c r="T204" s="31"/>
      <c r="U204" s="24">
        <f>76318.29</f>
        <v>76318.29</v>
      </c>
      <c r="V204" s="24"/>
      <c r="W204" s="24"/>
      <c r="X204" s="25" t="s">
        <v>71</v>
      </c>
      <c r="Y204" s="25"/>
      <c r="Z204" s="25"/>
      <c r="AA204" s="25"/>
      <c r="AB204" s="24">
        <f>76318.29</f>
        <v>76318.29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76318.29</f>
        <v>76318.29</v>
      </c>
      <c r="AU204" s="24"/>
      <c r="AV204" s="24"/>
      <c r="AW204" s="25" t="s">
        <v>71</v>
      </c>
      <c r="AX204" s="25"/>
      <c r="AY204" s="25" t="s">
        <v>71</v>
      </c>
      <c r="AZ204" s="25"/>
      <c r="BA204" s="25" t="s">
        <v>71</v>
      </c>
      <c r="BB204" s="25"/>
      <c r="BC204" s="25"/>
      <c r="BD204" s="25" t="s">
        <v>71</v>
      </c>
      <c r="BE204" s="25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5" t="s">
        <v>71</v>
      </c>
      <c r="BO204" s="25"/>
      <c r="BP204" s="25"/>
      <c r="BQ204" s="27" t="s">
        <v>71</v>
      </c>
    </row>
    <row r="205" spans="1:69" s="1" customFormat="1" ht="13.5" customHeight="1">
      <c r="A205" s="16" t="s">
        <v>247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220</v>
      </c>
      <c r="N205" s="23"/>
      <c r="O205" s="23"/>
      <c r="P205" s="31" t="s">
        <v>382</v>
      </c>
      <c r="Q205" s="31"/>
      <c r="R205" s="31"/>
      <c r="S205" s="31"/>
      <c r="T205" s="31"/>
      <c r="U205" s="24">
        <f>0</f>
        <v>0</v>
      </c>
      <c r="V205" s="24"/>
      <c r="W205" s="24"/>
      <c r="X205" s="25" t="s">
        <v>71</v>
      </c>
      <c r="Y205" s="25"/>
      <c r="Z205" s="25"/>
      <c r="AA205" s="25"/>
      <c r="AB205" s="24">
        <f>0</f>
        <v>0</v>
      </c>
      <c r="AC205" s="24"/>
      <c r="AD205" s="24"/>
      <c r="AE205" s="28">
        <f>442753.71</f>
        <v>442753.71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442753.71</f>
        <v>442753.71</v>
      </c>
      <c r="AU205" s="24"/>
      <c r="AV205" s="24"/>
      <c r="AW205" s="25" t="s">
        <v>71</v>
      </c>
      <c r="AX205" s="25"/>
      <c r="AY205" s="24">
        <f>442753.71</f>
        <v>442753.71</v>
      </c>
      <c r="AZ205" s="24"/>
      <c r="BA205" s="25" t="s">
        <v>71</v>
      </c>
      <c r="BB205" s="25"/>
      <c r="BC205" s="25"/>
      <c r="BD205" s="24">
        <f>442753.71</f>
        <v>442753.71</v>
      </c>
      <c r="BE205" s="24"/>
      <c r="BF205" s="28">
        <f>0</f>
        <v>0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442753.71</f>
        <v>442753.71</v>
      </c>
      <c r="BO205" s="24"/>
      <c r="BP205" s="24"/>
      <c r="BQ205" s="27" t="s">
        <v>71</v>
      </c>
    </row>
    <row r="206" spans="1:69" s="1" customFormat="1" ht="13.5" customHeight="1">
      <c r="A206" s="16" t="s">
        <v>249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220</v>
      </c>
      <c r="N206" s="23"/>
      <c r="O206" s="23"/>
      <c r="P206" s="31" t="s">
        <v>383</v>
      </c>
      <c r="Q206" s="31"/>
      <c r="R206" s="31"/>
      <c r="S206" s="31"/>
      <c r="T206" s="31"/>
      <c r="U206" s="24">
        <f>0</f>
        <v>0</v>
      </c>
      <c r="V206" s="24"/>
      <c r="W206" s="24"/>
      <c r="X206" s="25" t="s">
        <v>71</v>
      </c>
      <c r="Y206" s="25"/>
      <c r="Z206" s="25"/>
      <c r="AA206" s="25"/>
      <c r="AB206" s="24">
        <f>0</f>
        <v>0</v>
      </c>
      <c r="AC206" s="24"/>
      <c r="AD206" s="24"/>
      <c r="AE206" s="28">
        <f>442753.71</f>
        <v>442753.71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442753.71</f>
        <v>442753.71</v>
      </c>
      <c r="AU206" s="24"/>
      <c r="AV206" s="24"/>
      <c r="AW206" s="25" t="s">
        <v>71</v>
      </c>
      <c r="AX206" s="25"/>
      <c r="AY206" s="24">
        <f>442753.71</f>
        <v>442753.71</v>
      </c>
      <c r="AZ206" s="24"/>
      <c r="BA206" s="25" t="s">
        <v>71</v>
      </c>
      <c r="BB206" s="25"/>
      <c r="BC206" s="25"/>
      <c r="BD206" s="24">
        <f>442753.71</f>
        <v>442753.71</v>
      </c>
      <c r="BE206" s="24"/>
      <c r="BF206" s="28">
        <f>0</f>
        <v>0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4">
        <f>442753.71</f>
        <v>442753.71</v>
      </c>
      <c r="BO206" s="24"/>
      <c r="BP206" s="24"/>
      <c r="BQ206" s="27" t="s">
        <v>71</v>
      </c>
    </row>
    <row r="207" spans="1:69" s="1" customFormat="1" ht="13.5" customHeight="1">
      <c r="A207" s="16" t="s">
        <v>384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220</v>
      </c>
      <c r="N207" s="23"/>
      <c r="O207" s="23"/>
      <c r="P207" s="31" t="s">
        <v>385</v>
      </c>
      <c r="Q207" s="31"/>
      <c r="R207" s="31"/>
      <c r="S207" s="31"/>
      <c r="T207" s="31"/>
      <c r="U207" s="24">
        <f>10000</f>
        <v>10000</v>
      </c>
      <c r="V207" s="24"/>
      <c r="W207" s="24"/>
      <c r="X207" s="25" t="s">
        <v>71</v>
      </c>
      <c r="Y207" s="25"/>
      <c r="Z207" s="25"/>
      <c r="AA207" s="25"/>
      <c r="AB207" s="24">
        <f>10000</f>
        <v>10000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10000</f>
        <v>10000</v>
      </c>
      <c r="AU207" s="24"/>
      <c r="AV207" s="24"/>
      <c r="AW207" s="25" t="s">
        <v>71</v>
      </c>
      <c r="AX207" s="25"/>
      <c r="AY207" s="24">
        <f>10000</f>
        <v>10000</v>
      </c>
      <c r="AZ207" s="24"/>
      <c r="BA207" s="25" t="s">
        <v>71</v>
      </c>
      <c r="BB207" s="25"/>
      <c r="BC207" s="25"/>
      <c r="BD207" s="24">
        <f>10000</f>
        <v>10000</v>
      </c>
      <c r="BE207" s="24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4">
        <f>10000</f>
        <v>10000</v>
      </c>
      <c r="BO207" s="24"/>
      <c r="BP207" s="24"/>
      <c r="BQ207" s="27" t="s">
        <v>71</v>
      </c>
    </row>
    <row r="208" spans="1:69" s="1" customFormat="1" ht="13.5" customHeight="1">
      <c r="A208" s="16" t="s">
        <v>369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220</v>
      </c>
      <c r="N208" s="23"/>
      <c r="O208" s="23"/>
      <c r="P208" s="31" t="s">
        <v>386</v>
      </c>
      <c r="Q208" s="31"/>
      <c r="R208" s="31"/>
      <c r="S208" s="31"/>
      <c r="T208" s="31"/>
      <c r="U208" s="24">
        <f>10000</f>
        <v>10000</v>
      </c>
      <c r="V208" s="24"/>
      <c r="W208" s="24"/>
      <c r="X208" s="25" t="s">
        <v>71</v>
      </c>
      <c r="Y208" s="25"/>
      <c r="Z208" s="25"/>
      <c r="AA208" s="25"/>
      <c r="AB208" s="24">
        <f>10000</f>
        <v>10000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10000</f>
        <v>10000</v>
      </c>
      <c r="AU208" s="24"/>
      <c r="AV208" s="24"/>
      <c r="AW208" s="25" t="s">
        <v>71</v>
      </c>
      <c r="AX208" s="25"/>
      <c r="AY208" s="24">
        <f>10000</f>
        <v>10000</v>
      </c>
      <c r="AZ208" s="24"/>
      <c r="BA208" s="25" t="s">
        <v>71</v>
      </c>
      <c r="BB208" s="25"/>
      <c r="BC208" s="25"/>
      <c r="BD208" s="24">
        <f>10000</f>
        <v>10000</v>
      </c>
      <c r="BE208" s="24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4">
        <f>10000</f>
        <v>10000</v>
      </c>
      <c r="BO208" s="24"/>
      <c r="BP208" s="24"/>
      <c r="BQ208" s="27" t="s">
        <v>71</v>
      </c>
    </row>
    <row r="209" spans="1:69" s="1" customFormat="1" ht="13.5" customHeight="1">
      <c r="A209" s="16" t="s">
        <v>387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220</v>
      </c>
      <c r="N209" s="23"/>
      <c r="O209" s="23"/>
      <c r="P209" s="31" t="s">
        <v>388</v>
      </c>
      <c r="Q209" s="31"/>
      <c r="R209" s="31"/>
      <c r="S209" s="31"/>
      <c r="T209" s="31"/>
      <c r="U209" s="24">
        <f>10000</f>
        <v>10000</v>
      </c>
      <c r="V209" s="24"/>
      <c r="W209" s="24"/>
      <c r="X209" s="25" t="s">
        <v>71</v>
      </c>
      <c r="Y209" s="25"/>
      <c r="Z209" s="25"/>
      <c r="AA209" s="25"/>
      <c r="AB209" s="24">
        <f>10000</f>
        <v>10000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10000</f>
        <v>10000</v>
      </c>
      <c r="AU209" s="24"/>
      <c r="AV209" s="24"/>
      <c r="AW209" s="25" t="s">
        <v>71</v>
      </c>
      <c r="AX209" s="25"/>
      <c r="AY209" s="24">
        <f>10000</f>
        <v>10000</v>
      </c>
      <c r="AZ209" s="24"/>
      <c r="BA209" s="25" t="s">
        <v>71</v>
      </c>
      <c r="BB209" s="25"/>
      <c r="BC209" s="25"/>
      <c r="BD209" s="24">
        <f>10000</f>
        <v>10000</v>
      </c>
      <c r="BE209" s="24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4">
        <f>10000</f>
        <v>10000</v>
      </c>
      <c r="BO209" s="24"/>
      <c r="BP209" s="24"/>
      <c r="BQ209" s="27" t="s">
        <v>71</v>
      </c>
    </row>
    <row r="210" spans="1:69" s="1" customFormat="1" ht="13.5" customHeight="1">
      <c r="A210" s="16" t="s">
        <v>389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220</v>
      </c>
      <c r="N210" s="23"/>
      <c r="O210" s="23"/>
      <c r="P210" s="31" t="s">
        <v>390</v>
      </c>
      <c r="Q210" s="31"/>
      <c r="R210" s="31"/>
      <c r="S210" s="31"/>
      <c r="T210" s="31"/>
      <c r="U210" s="24">
        <f>1384235</f>
        <v>1384235</v>
      </c>
      <c r="V210" s="24"/>
      <c r="W210" s="24"/>
      <c r="X210" s="25" t="s">
        <v>71</v>
      </c>
      <c r="Y210" s="25"/>
      <c r="Z210" s="25"/>
      <c r="AA210" s="25"/>
      <c r="AB210" s="24">
        <f>1384235</f>
        <v>1384235</v>
      </c>
      <c r="AC210" s="24"/>
      <c r="AD210" s="24"/>
      <c r="AE210" s="26" t="s">
        <v>71</v>
      </c>
      <c r="AF210" s="26" t="s">
        <v>71</v>
      </c>
      <c r="AG210" s="25" t="s">
        <v>71</v>
      </c>
      <c r="AH210" s="25"/>
      <c r="AI210" s="25"/>
      <c r="AJ210" s="25" t="s">
        <v>71</v>
      </c>
      <c r="AK210" s="25"/>
      <c r="AL210" s="25" t="s">
        <v>71</v>
      </c>
      <c r="AM210" s="25"/>
      <c r="AN210" s="25" t="s">
        <v>71</v>
      </c>
      <c r="AO210" s="25"/>
      <c r="AP210" s="25" t="s">
        <v>71</v>
      </c>
      <c r="AQ210" s="25"/>
      <c r="AR210" s="25"/>
      <c r="AS210" s="26" t="s">
        <v>71</v>
      </c>
      <c r="AT210" s="24">
        <f>1384235</f>
        <v>1384235</v>
      </c>
      <c r="AU210" s="24"/>
      <c r="AV210" s="24"/>
      <c r="AW210" s="25" t="s">
        <v>71</v>
      </c>
      <c r="AX210" s="25"/>
      <c r="AY210" s="24">
        <f>1091116.23</f>
        <v>1091116.23</v>
      </c>
      <c r="AZ210" s="24"/>
      <c r="BA210" s="25" t="s">
        <v>71</v>
      </c>
      <c r="BB210" s="25"/>
      <c r="BC210" s="25"/>
      <c r="BD210" s="24">
        <f>1091116.23</f>
        <v>1091116.23</v>
      </c>
      <c r="BE210" s="24"/>
      <c r="BF210" s="26" t="s">
        <v>71</v>
      </c>
      <c r="BG210" s="26" t="s">
        <v>71</v>
      </c>
      <c r="BH210" s="26" t="s">
        <v>71</v>
      </c>
      <c r="BI210" s="26" t="s">
        <v>71</v>
      </c>
      <c r="BJ210" s="26" t="s">
        <v>71</v>
      </c>
      <c r="BK210" s="26" t="s">
        <v>71</v>
      </c>
      <c r="BL210" s="26" t="s">
        <v>71</v>
      </c>
      <c r="BM210" s="26" t="s">
        <v>71</v>
      </c>
      <c r="BN210" s="24">
        <f>1091116.23</f>
        <v>1091116.23</v>
      </c>
      <c r="BO210" s="24"/>
      <c r="BP210" s="24"/>
      <c r="BQ210" s="27" t="s">
        <v>71</v>
      </c>
    </row>
    <row r="211" spans="1:69" s="1" customFormat="1" ht="13.5" customHeight="1">
      <c r="A211" s="16" t="s">
        <v>391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220</v>
      </c>
      <c r="N211" s="23"/>
      <c r="O211" s="23"/>
      <c r="P211" s="31" t="s">
        <v>392</v>
      </c>
      <c r="Q211" s="31"/>
      <c r="R211" s="31"/>
      <c r="S211" s="31"/>
      <c r="T211" s="31"/>
      <c r="U211" s="24">
        <f>1134235</f>
        <v>1134235</v>
      </c>
      <c r="V211" s="24"/>
      <c r="W211" s="24"/>
      <c r="X211" s="25" t="s">
        <v>71</v>
      </c>
      <c r="Y211" s="25"/>
      <c r="Z211" s="25"/>
      <c r="AA211" s="25"/>
      <c r="AB211" s="24">
        <f>1134235</f>
        <v>1134235</v>
      </c>
      <c r="AC211" s="24"/>
      <c r="AD211" s="24"/>
      <c r="AE211" s="26" t="s">
        <v>71</v>
      </c>
      <c r="AF211" s="26" t="s">
        <v>71</v>
      </c>
      <c r="AG211" s="25" t="s">
        <v>71</v>
      </c>
      <c r="AH211" s="25"/>
      <c r="AI211" s="25"/>
      <c r="AJ211" s="25" t="s">
        <v>71</v>
      </c>
      <c r="AK211" s="25"/>
      <c r="AL211" s="25" t="s">
        <v>71</v>
      </c>
      <c r="AM211" s="25"/>
      <c r="AN211" s="25" t="s">
        <v>71</v>
      </c>
      <c r="AO211" s="25"/>
      <c r="AP211" s="25" t="s">
        <v>71</v>
      </c>
      <c r="AQ211" s="25"/>
      <c r="AR211" s="25"/>
      <c r="AS211" s="26" t="s">
        <v>71</v>
      </c>
      <c r="AT211" s="24">
        <f>1134235</f>
        <v>1134235</v>
      </c>
      <c r="AU211" s="24"/>
      <c r="AV211" s="24"/>
      <c r="AW211" s="25" t="s">
        <v>71</v>
      </c>
      <c r="AX211" s="25"/>
      <c r="AY211" s="24">
        <f>897696.23</f>
        <v>897696.23</v>
      </c>
      <c r="AZ211" s="24"/>
      <c r="BA211" s="25" t="s">
        <v>71</v>
      </c>
      <c r="BB211" s="25"/>
      <c r="BC211" s="25"/>
      <c r="BD211" s="24">
        <f>897696.23</f>
        <v>897696.23</v>
      </c>
      <c r="BE211" s="24"/>
      <c r="BF211" s="26" t="s">
        <v>71</v>
      </c>
      <c r="BG211" s="26" t="s">
        <v>71</v>
      </c>
      <c r="BH211" s="26" t="s">
        <v>71</v>
      </c>
      <c r="BI211" s="26" t="s">
        <v>71</v>
      </c>
      <c r="BJ211" s="26" t="s">
        <v>71</v>
      </c>
      <c r="BK211" s="26" t="s">
        <v>71</v>
      </c>
      <c r="BL211" s="26" t="s">
        <v>71</v>
      </c>
      <c r="BM211" s="26" t="s">
        <v>71</v>
      </c>
      <c r="BN211" s="24">
        <f>897696.23</f>
        <v>897696.23</v>
      </c>
      <c r="BO211" s="24"/>
      <c r="BP211" s="24"/>
      <c r="BQ211" s="27" t="s">
        <v>71</v>
      </c>
    </row>
    <row r="212" spans="1:69" s="1" customFormat="1" ht="54.75" customHeight="1">
      <c r="A212" s="16" t="s">
        <v>225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220</v>
      </c>
      <c r="N212" s="23"/>
      <c r="O212" s="23"/>
      <c r="P212" s="31" t="s">
        <v>393</v>
      </c>
      <c r="Q212" s="31"/>
      <c r="R212" s="31"/>
      <c r="S212" s="31"/>
      <c r="T212" s="31"/>
      <c r="U212" s="24">
        <f>693435</f>
        <v>693435</v>
      </c>
      <c r="V212" s="24"/>
      <c r="W212" s="24"/>
      <c r="X212" s="25" t="s">
        <v>71</v>
      </c>
      <c r="Y212" s="25"/>
      <c r="Z212" s="25"/>
      <c r="AA212" s="25"/>
      <c r="AB212" s="24">
        <f>693435</f>
        <v>693435</v>
      </c>
      <c r="AC212" s="24"/>
      <c r="AD212" s="24"/>
      <c r="AE212" s="26" t="s">
        <v>71</v>
      </c>
      <c r="AF212" s="26" t="s">
        <v>71</v>
      </c>
      <c r="AG212" s="25" t="s">
        <v>71</v>
      </c>
      <c r="AH212" s="25"/>
      <c r="AI212" s="25"/>
      <c r="AJ212" s="25" t="s">
        <v>71</v>
      </c>
      <c r="AK212" s="25"/>
      <c r="AL212" s="25" t="s">
        <v>71</v>
      </c>
      <c r="AM212" s="25"/>
      <c r="AN212" s="25" t="s">
        <v>71</v>
      </c>
      <c r="AO212" s="25"/>
      <c r="AP212" s="25" t="s">
        <v>71</v>
      </c>
      <c r="AQ212" s="25"/>
      <c r="AR212" s="25"/>
      <c r="AS212" s="26" t="s">
        <v>71</v>
      </c>
      <c r="AT212" s="24">
        <f>693435</f>
        <v>693435</v>
      </c>
      <c r="AU212" s="24"/>
      <c r="AV212" s="24"/>
      <c r="AW212" s="25" t="s">
        <v>71</v>
      </c>
      <c r="AX212" s="25"/>
      <c r="AY212" s="24">
        <f>690618.82</f>
        <v>690618.82</v>
      </c>
      <c r="AZ212" s="24"/>
      <c r="BA212" s="25" t="s">
        <v>71</v>
      </c>
      <c r="BB212" s="25"/>
      <c r="BC212" s="25"/>
      <c r="BD212" s="24">
        <f>690618.82</f>
        <v>690618.82</v>
      </c>
      <c r="BE212" s="24"/>
      <c r="BF212" s="26" t="s">
        <v>71</v>
      </c>
      <c r="BG212" s="26" t="s">
        <v>71</v>
      </c>
      <c r="BH212" s="26" t="s">
        <v>71</v>
      </c>
      <c r="BI212" s="26" t="s">
        <v>71</v>
      </c>
      <c r="BJ212" s="26" t="s">
        <v>71</v>
      </c>
      <c r="BK212" s="26" t="s">
        <v>71</v>
      </c>
      <c r="BL212" s="26" t="s">
        <v>71</v>
      </c>
      <c r="BM212" s="26" t="s">
        <v>71</v>
      </c>
      <c r="BN212" s="24">
        <f>690618.82</f>
        <v>690618.82</v>
      </c>
      <c r="BO212" s="24"/>
      <c r="BP212" s="24"/>
      <c r="BQ212" s="27" t="s">
        <v>71</v>
      </c>
    </row>
    <row r="213" spans="1:69" s="1" customFormat="1" ht="13.5" customHeight="1">
      <c r="A213" s="16" t="s">
        <v>273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220</v>
      </c>
      <c r="N213" s="23"/>
      <c r="O213" s="23"/>
      <c r="P213" s="31" t="s">
        <v>394</v>
      </c>
      <c r="Q213" s="31"/>
      <c r="R213" s="31"/>
      <c r="S213" s="31"/>
      <c r="T213" s="31"/>
      <c r="U213" s="24">
        <f>693435</f>
        <v>693435</v>
      </c>
      <c r="V213" s="24"/>
      <c r="W213" s="24"/>
      <c r="X213" s="25" t="s">
        <v>71</v>
      </c>
      <c r="Y213" s="25"/>
      <c r="Z213" s="25"/>
      <c r="AA213" s="25"/>
      <c r="AB213" s="24">
        <f>693435</f>
        <v>693435</v>
      </c>
      <c r="AC213" s="24"/>
      <c r="AD213" s="24"/>
      <c r="AE213" s="26" t="s">
        <v>71</v>
      </c>
      <c r="AF213" s="26" t="s">
        <v>71</v>
      </c>
      <c r="AG213" s="25" t="s">
        <v>71</v>
      </c>
      <c r="AH213" s="25"/>
      <c r="AI213" s="25"/>
      <c r="AJ213" s="25" t="s">
        <v>71</v>
      </c>
      <c r="AK213" s="25"/>
      <c r="AL213" s="25" t="s">
        <v>71</v>
      </c>
      <c r="AM213" s="25"/>
      <c r="AN213" s="25" t="s">
        <v>71</v>
      </c>
      <c r="AO213" s="25"/>
      <c r="AP213" s="25" t="s">
        <v>71</v>
      </c>
      <c r="AQ213" s="25"/>
      <c r="AR213" s="25"/>
      <c r="AS213" s="26" t="s">
        <v>71</v>
      </c>
      <c r="AT213" s="24">
        <f>693435</f>
        <v>693435</v>
      </c>
      <c r="AU213" s="24"/>
      <c r="AV213" s="24"/>
      <c r="AW213" s="25" t="s">
        <v>71</v>
      </c>
      <c r="AX213" s="25"/>
      <c r="AY213" s="24">
        <f>690618.82</f>
        <v>690618.82</v>
      </c>
      <c r="AZ213" s="24"/>
      <c r="BA213" s="25" t="s">
        <v>71</v>
      </c>
      <c r="BB213" s="25"/>
      <c r="BC213" s="25"/>
      <c r="BD213" s="24">
        <f>690618.82</f>
        <v>690618.82</v>
      </c>
      <c r="BE213" s="24"/>
      <c r="BF213" s="26" t="s">
        <v>71</v>
      </c>
      <c r="BG213" s="26" t="s">
        <v>71</v>
      </c>
      <c r="BH213" s="26" t="s">
        <v>71</v>
      </c>
      <c r="BI213" s="26" t="s">
        <v>71</v>
      </c>
      <c r="BJ213" s="26" t="s">
        <v>71</v>
      </c>
      <c r="BK213" s="26" t="s">
        <v>71</v>
      </c>
      <c r="BL213" s="26" t="s">
        <v>71</v>
      </c>
      <c r="BM213" s="26" t="s">
        <v>71</v>
      </c>
      <c r="BN213" s="24">
        <f>690618.82</f>
        <v>690618.82</v>
      </c>
      <c r="BO213" s="24"/>
      <c r="BP213" s="24"/>
      <c r="BQ213" s="27" t="s">
        <v>71</v>
      </c>
    </row>
    <row r="214" spans="1:69" s="1" customFormat="1" ht="13.5" customHeight="1">
      <c r="A214" s="16" t="s">
        <v>275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220</v>
      </c>
      <c r="N214" s="23"/>
      <c r="O214" s="23"/>
      <c r="P214" s="31" t="s">
        <v>395</v>
      </c>
      <c r="Q214" s="31"/>
      <c r="R214" s="31"/>
      <c r="S214" s="31"/>
      <c r="T214" s="31"/>
      <c r="U214" s="24">
        <f>531364</f>
        <v>531364</v>
      </c>
      <c r="V214" s="24"/>
      <c r="W214" s="24"/>
      <c r="X214" s="25" t="s">
        <v>71</v>
      </c>
      <c r="Y214" s="25"/>
      <c r="Z214" s="25"/>
      <c r="AA214" s="25"/>
      <c r="AB214" s="24">
        <f>531364</f>
        <v>531364</v>
      </c>
      <c r="AC214" s="24"/>
      <c r="AD214" s="24"/>
      <c r="AE214" s="26" t="s">
        <v>71</v>
      </c>
      <c r="AF214" s="26" t="s">
        <v>71</v>
      </c>
      <c r="AG214" s="25" t="s">
        <v>71</v>
      </c>
      <c r="AH214" s="25"/>
      <c r="AI214" s="25"/>
      <c r="AJ214" s="25" t="s">
        <v>71</v>
      </c>
      <c r="AK214" s="25"/>
      <c r="AL214" s="25" t="s">
        <v>71</v>
      </c>
      <c r="AM214" s="25"/>
      <c r="AN214" s="25" t="s">
        <v>71</v>
      </c>
      <c r="AO214" s="25"/>
      <c r="AP214" s="25" t="s">
        <v>71</v>
      </c>
      <c r="AQ214" s="25"/>
      <c r="AR214" s="25"/>
      <c r="AS214" s="26" t="s">
        <v>71</v>
      </c>
      <c r="AT214" s="24">
        <f>531364</f>
        <v>531364</v>
      </c>
      <c r="AU214" s="24"/>
      <c r="AV214" s="24"/>
      <c r="AW214" s="25" t="s">
        <v>71</v>
      </c>
      <c r="AX214" s="25"/>
      <c r="AY214" s="24">
        <f>530468.12</f>
        <v>530468.12</v>
      </c>
      <c r="AZ214" s="24"/>
      <c r="BA214" s="25" t="s">
        <v>71</v>
      </c>
      <c r="BB214" s="25"/>
      <c r="BC214" s="25"/>
      <c r="BD214" s="24">
        <f>530468.12</f>
        <v>530468.12</v>
      </c>
      <c r="BE214" s="24"/>
      <c r="BF214" s="26" t="s">
        <v>71</v>
      </c>
      <c r="BG214" s="26" t="s">
        <v>71</v>
      </c>
      <c r="BH214" s="26" t="s">
        <v>71</v>
      </c>
      <c r="BI214" s="26" t="s">
        <v>71</v>
      </c>
      <c r="BJ214" s="26" t="s">
        <v>71</v>
      </c>
      <c r="BK214" s="26" t="s">
        <v>71</v>
      </c>
      <c r="BL214" s="26" t="s">
        <v>71</v>
      </c>
      <c r="BM214" s="26" t="s">
        <v>71</v>
      </c>
      <c r="BN214" s="24">
        <f>530468.12</f>
        <v>530468.12</v>
      </c>
      <c r="BO214" s="24"/>
      <c r="BP214" s="24"/>
      <c r="BQ214" s="27" t="s">
        <v>71</v>
      </c>
    </row>
    <row r="215" spans="1:69" s="1" customFormat="1" ht="33.75" customHeight="1">
      <c r="A215" s="16" t="s">
        <v>279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220</v>
      </c>
      <c r="N215" s="23"/>
      <c r="O215" s="23"/>
      <c r="P215" s="31" t="s">
        <v>396</v>
      </c>
      <c r="Q215" s="31"/>
      <c r="R215" s="31"/>
      <c r="S215" s="31"/>
      <c r="T215" s="31"/>
      <c r="U215" s="24">
        <f>162071</f>
        <v>162071</v>
      </c>
      <c r="V215" s="24"/>
      <c r="W215" s="24"/>
      <c r="X215" s="25" t="s">
        <v>71</v>
      </c>
      <c r="Y215" s="25"/>
      <c r="Z215" s="25"/>
      <c r="AA215" s="25"/>
      <c r="AB215" s="24">
        <f>162071</f>
        <v>162071</v>
      </c>
      <c r="AC215" s="24"/>
      <c r="AD215" s="24"/>
      <c r="AE215" s="26" t="s">
        <v>71</v>
      </c>
      <c r="AF215" s="26" t="s">
        <v>71</v>
      </c>
      <c r="AG215" s="25" t="s">
        <v>71</v>
      </c>
      <c r="AH215" s="25"/>
      <c r="AI215" s="25"/>
      <c r="AJ215" s="25" t="s">
        <v>71</v>
      </c>
      <c r="AK215" s="25"/>
      <c r="AL215" s="25" t="s">
        <v>71</v>
      </c>
      <c r="AM215" s="25"/>
      <c r="AN215" s="25" t="s">
        <v>71</v>
      </c>
      <c r="AO215" s="25"/>
      <c r="AP215" s="25" t="s">
        <v>71</v>
      </c>
      <c r="AQ215" s="25"/>
      <c r="AR215" s="25"/>
      <c r="AS215" s="26" t="s">
        <v>71</v>
      </c>
      <c r="AT215" s="24">
        <f>162071</f>
        <v>162071</v>
      </c>
      <c r="AU215" s="24"/>
      <c r="AV215" s="24"/>
      <c r="AW215" s="25" t="s">
        <v>71</v>
      </c>
      <c r="AX215" s="25"/>
      <c r="AY215" s="24">
        <f>160150.7</f>
        <v>160150.7</v>
      </c>
      <c r="AZ215" s="24"/>
      <c r="BA215" s="25" t="s">
        <v>71</v>
      </c>
      <c r="BB215" s="25"/>
      <c r="BC215" s="25"/>
      <c r="BD215" s="24">
        <f>160150.7</f>
        <v>160150.7</v>
      </c>
      <c r="BE215" s="24"/>
      <c r="BF215" s="26" t="s">
        <v>71</v>
      </c>
      <c r="BG215" s="26" t="s">
        <v>71</v>
      </c>
      <c r="BH215" s="26" t="s">
        <v>71</v>
      </c>
      <c r="BI215" s="26" t="s">
        <v>71</v>
      </c>
      <c r="BJ215" s="26" t="s">
        <v>71</v>
      </c>
      <c r="BK215" s="26" t="s">
        <v>71</v>
      </c>
      <c r="BL215" s="26" t="s">
        <v>71</v>
      </c>
      <c r="BM215" s="26" t="s">
        <v>71</v>
      </c>
      <c r="BN215" s="24">
        <f>160150.7</f>
        <v>160150.7</v>
      </c>
      <c r="BO215" s="24"/>
      <c r="BP215" s="24"/>
      <c r="BQ215" s="27" t="s">
        <v>71</v>
      </c>
    </row>
    <row r="216" spans="1:69" s="1" customFormat="1" ht="24" customHeight="1">
      <c r="A216" s="16" t="s">
        <v>239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220</v>
      </c>
      <c r="N216" s="23"/>
      <c r="O216" s="23"/>
      <c r="P216" s="31" t="s">
        <v>397</v>
      </c>
      <c r="Q216" s="31"/>
      <c r="R216" s="31"/>
      <c r="S216" s="31"/>
      <c r="T216" s="31"/>
      <c r="U216" s="24">
        <f>273000</f>
        <v>273000</v>
      </c>
      <c r="V216" s="24"/>
      <c r="W216" s="24"/>
      <c r="X216" s="25" t="s">
        <v>71</v>
      </c>
      <c r="Y216" s="25"/>
      <c r="Z216" s="25"/>
      <c r="AA216" s="25"/>
      <c r="AB216" s="24">
        <f>273000</f>
        <v>273000</v>
      </c>
      <c r="AC216" s="24"/>
      <c r="AD216" s="24"/>
      <c r="AE216" s="26" t="s">
        <v>71</v>
      </c>
      <c r="AF216" s="26" t="s">
        <v>71</v>
      </c>
      <c r="AG216" s="25" t="s">
        <v>71</v>
      </c>
      <c r="AH216" s="25"/>
      <c r="AI216" s="25"/>
      <c r="AJ216" s="25" t="s">
        <v>71</v>
      </c>
      <c r="AK216" s="25"/>
      <c r="AL216" s="25" t="s">
        <v>71</v>
      </c>
      <c r="AM216" s="25"/>
      <c r="AN216" s="25" t="s">
        <v>71</v>
      </c>
      <c r="AO216" s="25"/>
      <c r="AP216" s="25" t="s">
        <v>71</v>
      </c>
      <c r="AQ216" s="25"/>
      <c r="AR216" s="25"/>
      <c r="AS216" s="26" t="s">
        <v>71</v>
      </c>
      <c r="AT216" s="24">
        <f>273000</f>
        <v>273000</v>
      </c>
      <c r="AU216" s="24"/>
      <c r="AV216" s="24"/>
      <c r="AW216" s="25" t="s">
        <v>71</v>
      </c>
      <c r="AX216" s="25"/>
      <c r="AY216" s="24">
        <f>152077.41</f>
        <v>152077.41</v>
      </c>
      <c r="AZ216" s="24"/>
      <c r="BA216" s="25" t="s">
        <v>71</v>
      </c>
      <c r="BB216" s="25"/>
      <c r="BC216" s="25"/>
      <c r="BD216" s="24">
        <f>152077.41</f>
        <v>152077.41</v>
      </c>
      <c r="BE216" s="24"/>
      <c r="BF216" s="26" t="s">
        <v>71</v>
      </c>
      <c r="BG216" s="26" t="s">
        <v>71</v>
      </c>
      <c r="BH216" s="26" t="s">
        <v>71</v>
      </c>
      <c r="BI216" s="26" t="s">
        <v>71</v>
      </c>
      <c r="BJ216" s="26" t="s">
        <v>71</v>
      </c>
      <c r="BK216" s="26" t="s">
        <v>71</v>
      </c>
      <c r="BL216" s="26" t="s">
        <v>71</v>
      </c>
      <c r="BM216" s="26" t="s">
        <v>71</v>
      </c>
      <c r="BN216" s="24">
        <f>152077.41</f>
        <v>152077.41</v>
      </c>
      <c r="BO216" s="24"/>
      <c r="BP216" s="24"/>
      <c r="BQ216" s="27" t="s">
        <v>71</v>
      </c>
    </row>
    <row r="217" spans="1:69" s="1" customFormat="1" ht="24" customHeight="1">
      <c r="A217" s="16" t="s">
        <v>241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220</v>
      </c>
      <c r="N217" s="23"/>
      <c r="O217" s="23"/>
      <c r="P217" s="31" t="s">
        <v>398</v>
      </c>
      <c r="Q217" s="31"/>
      <c r="R217" s="31"/>
      <c r="S217" s="31"/>
      <c r="T217" s="31"/>
      <c r="U217" s="24">
        <f>273000</f>
        <v>273000</v>
      </c>
      <c r="V217" s="24"/>
      <c r="W217" s="24"/>
      <c r="X217" s="25" t="s">
        <v>71</v>
      </c>
      <c r="Y217" s="25"/>
      <c r="Z217" s="25"/>
      <c r="AA217" s="25"/>
      <c r="AB217" s="24">
        <f>273000</f>
        <v>273000</v>
      </c>
      <c r="AC217" s="24"/>
      <c r="AD217" s="24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4">
        <f>273000</f>
        <v>273000</v>
      </c>
      <c r="AU217" s="24"/>
      <c r="AV217" s="24"/>
      <c r="AW217" s="25" t="s">
        <v>71</v>
      </c>
      <c r="AX217" s="25"/>
      <c r="AY217" s="24">
        <f>152077.41</f>
        <v>152077.41</v>
      </c>
      <c r="AZ217" s="24"/>
      <c r="BA217" s="25" t="s">
        <v>71</v>
      </c>
      <c r="BB217" s="25"/>
      <c r="BC217" s="25"/>
      <c r="BD217" s="24">
        <f>152077.41</f>
        <v>152077.41</v>
      </c>
      <c r="BE217" s="24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4">
        <f>152077.41</f>
        <v>152077.41</v>
      </c>
      <c r="BO217" s="24"/>
      <c r="BP217" s="24"/>
      <c r="BQ217" s="27" t="s">
        <v>71</v>
      </c>
    </row>
    <row r="218" spans="1:69" s="1" customFormat="1" ht="13.5" customHeight="1">
      <c r="A218" s="16" t="s">
        <v>243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220</v>
      </c>
      <c r="N218" s="23"/>
      <c r="O218" s="23"/>
      <c r="P218" s="31" t="s">
        <v>399</v>
      </c>
      <c r="Q218" s="31"/>
      <c r="R218" s="31"/>
      <c r="S218" s="31"/>
      <c r="T218" s="31"/>
      <c r="U218" s="24">
        <f>273000</f>
        <v>273000</v>
      </c>
      <c r="V218" s="24"/>
      <c r="W218" s="24"/>
      <c r="X218" s="25" t="s">
        <v>71</v>
      </c>
      <c r="Y218" s="25"/>
      <c r="Z218" s="25"/>
      <c r="AA218" s="25"/>
      <c r="AB218" s="24">
        <f>273000</f>
        <v>273000</v>
      </c>
      <c r="AC218" s="24"/>
      <c r="AD218" s="24"/>
      <c r="AE218" s="26" t="s">
        <v>71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4">
        <f>273000</f>
        <v>273000</v>
      </c>
      <c r="AU218" s="24"/>
      <c r="AV218" s="24"/>
      <c r="AW218" s="25" t="s">
        <v>71</v>
      </c>
      <c r="AX218" s="25"/>
      <c r="AY218" s="24">
        <f>152077.41</f>
        <v>152077.41</v>
      </c>
      <c r="AZ218" s="24"/>
      <c r="BA218" s="25" t="s">
        <v>71</v>
      </c>
      <c r="BB218" s="25"/>
      <c r="BC218" s="25"/>
      <c r="BD218" s="24">
        <f>152077.41</f>
        <v>152077.41</v>
      </c>
      <c r="BE218" s="24"/>
      <c r="BF218" s="26" t="s">
        <v>71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4">
        <f>152077.41</f>
        <v>152077.41</v>
      </c>
      <c r="BO218" s="24"/>
      <c r="BP218" s="24"/>
      <c r="BQ218" s="27" t="s">
        <v>71</v>
      </c>
    </row>
    <row r="219" spans="1:69" s="1" customFormat="1" ht="13.5" customHeight="1">
      <c r="A219" s="16" t="s">
        <v>251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220</v>
      </c>
      <c r="N219" s="23"/>
      <c r="O219" s="23"/>
      <c r="P219" s="31" t="s">
        <v>400</v>
      </c>
      <c r="Q219" s="31"/>
      <c r="R219" s="31"/>
      <c r="S219" s="31"/>
      <c r="T219" s="31"/>
      <c r="U219" s="24">
        <f>167800</f>
        <v>167800</v>
      </c>
      <c r="V219" s="24"/>
      <c r="W219" s="24"/>
      <c r="X219" s="25" t="s">
        <v>71</v>
      </c>
      <c r="Y219" s="25"/>
      <c r="Z219" s="25"/>
      <c r="AA219" s="25"/>
      <c r="AB219" s="24">
        <f>167800</f>
        <v>167800</v>
      </c>
      <c r="AC219" s="24"/>
      <c r="AD219" s="24"/>
      <c r="AE219" s="26" t="s">
        <v>71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4">
        <f>167800</f>
        <v>167800</v>
      </c>
      <c r="AU219" s="24"/>
      <c r="AV219" s="24"/>
      <c r="AW219" s="25" t="s">
        <v>71</v>
      </c>
      <c r="AX219" s="25"/>
      <c r="AY219" s="24">
        <f>55000</f>
        <v>55000</v>
      </c>
      <c r="AZ219" s="24"/>
      <c r="BA219" s="25" t="s">
        <v>71</v>
      </c>
      <c r="BB219" s="25"/>
      <c r="BC219" s="25"/>
      <c r="BD219" s="24">
        <f>55000</f>
        <v>55000</v>
      </c>
      <c r="BE219" s="24"/>
      <c r="BF219" s="26" t="s">
        <v>71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4">
        <f>55000</f>
        <v>55000</v>
      </c>
      <c r="BO219" s="24"/>
      <c r="BP219" s="24"/>
      <c r="BQ219" s="27" t="s">
        <v>71</v>
      </c>
    </row>
    <row r="220" spans="1:69" s="1" customFormat="1" ht="13.5" customHeight="1">
      <c r="A220" s="16" t="s">
        <v>253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220</v>
      </c>
      <c r="N220" s="23"/>
      <c r="O220" s="23"/>
      <c r="P220" s="31" t="s">
        <v>401</v>
      </c>
      <c r="Q220" s="31"/>
      <c r="R220" s="31"/>
      <c r="S220" s="31"/>
      <c r="T220" s="31"/>
      <c r="U220" s="24">
        <f>167800</f>
        <v>167800</v>
      </c>
      <c r="V220" s="24"/>
      <c r="W220" s="24"/>
      <c r="X220" s="25" t="s">
        <v>71</v>
      </c>
      <c r="Y220" s="25"/>
      <c r="Z220" s="25"/>
      <c r="AA220" s="25"/>
      <c r="AB220" s="24">
        <f>167800</f>
        <v>167800</v>
      </c>
      <c r="AC220" s="24"/>
      <c r="AD220" s="24"/>
      <c r="AE220" s="26" t="s">
        <v>71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4">
        <f>167800</f>
        <v>167800</v>
      </c>
      <c r="AU220" s="24"/>
      <c r="AV220" s="24"/>
      <c r="AW220" s="25" t="s">
        <v>71</v>
      </c>
      <c r="AX220" s="25"/>
      <c r="AY220" s="24">
        <f>55000</f>
        <v>55000</v>
      </c>
      <c r="AZ220" s="24"/>
      <c r="BA220" s="25" t="s">
        <v>71</v>
      </c>
      <c r="BB220" s="25"/>
      <c r="BC220" s="25"/>
      <c r="BD220" s="24">
        <f>55000</f>
        <v>55000</v>
      </c>
      <c r="BE220" s="24"/>
      <c r="BF220" s="26" t="s">
        <v>71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4">
        <f>55000</f>
        <v>55000</v>
      </c>
      <c r="BO220" s="24"/>
      <c r="BP220" s="24"/>
      <c r="BQ220" s="27" t="s">
        <v>71</v>
      </c>
    </row>
    <row r="221" spans="1:69" s="1" customFormat="1" ht="24" customHeight="1">
      <c r="A221" s="16" t="s">
        <v>255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220</v>
      </c>
      <c r="N221" s="23"/>
      <c r="O221" s="23"/>
      <c r="P221" s="31" t="s">
        <v>402</v>
      </c>
      <c r="Q221" s="31"/>
      <c r="R221" s="31"/>
      <c r="S221" s="31"/>
      <c r="T221" s="31"/>
      <c r="U221" s="24">
        <f>166800</f>
        <v>166800</v>
      </c>
      <c r="V221" s="24"/>
      <c r="W221" s="24"/>
      <c r="X221" s="25" t="s">
        <v>71</v>
      </c>
      <c r="Y221" s="25"/>
      <c r="Z221" s="25"/>
      <c r="AA221" s="25"/>
      <c r="AB221" s="24">
        <f>166800</f>
        <v>166800</v>
      </c>
      <c r="AC221" s="24"/>
      <c r="AD221" s="24"/>
      <c r="AE221" s="26" t="s">
        <v>71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166800</f>
        <v>166800</v>
      </c>
      <c r="AU221" s="24"/>
      <c r="AV221" s="24"/>
      <c r="AW221" s="25" t="s">
        <v>71</v>
      </c>
      <c r="AX221" s="25"/>
      <c r="AY221" s="24">
        <f>55000</f>
        <v>55000</v>
      </c>
      <c r="AZ221" s="24"/>
      <c r="BA221" s="25" t="s">
        <v>71</v>
      </c>
      <c r="BB221" s="25"/>
      <c r="BC221" s="25"/>
      <c r="BD221" s="24">
        <f>55000</f>
        <v>55000</v>
      </c>
      <c r="BE221" s="24"/>
      <c r="BF221" s="26" t="s">
        <v>71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55000</f>
        <v>55000</v>
      </c>
      <c r="BO221" s="24"/>
      <c r="BP221" s="24"/>
      <c r="BQ221" s="27" t="s">
        <v>71</v>
      </c>
    </row>
    <row r="222" spans="1:69" s="1" customFormat="1" ht="13.5" customHeight="1">
      <c r="A222" s="16" t="s">
        <v>257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220</v>
      </c>
      <c r="N222" s="23"/>
      <c r="O222" s="23"/>
      <c r="P222" s="31" t="s">
        <v>403</v>
      </c>
      <c r="Q222" s="31"/>
      <c r="R222" s="31"/>
      <c r="S222" s="31"/>
      <c r="T222" s="31"/>
      <c r="U222" s="24">
        <f>1000</f>
        <v>1000</v>
      </c>
      <c r="V222" s="24"/>
      <c r="W222" s="24"/>
      <c r="X222" s="25" t="s">
        <v>71</v>
      </c>
      <c r="Y222" s="25"/>
      <c r="Z222" s="25"/>
      <c r="AA222" s="25"/>
      <c r="AB222" s="24">
        <f>1000</f>
        <v>1000</v>
      </c>
      <c r="AC222" s="24"/>
      <c r="AD222" s="24"/>
      <c r="AE222" s="26" t="s">
        <v>71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1000</f>
        <v>1000</v>
      </c>
      <c r="AU222" s="24"/>
      <c r="AV222" s="24"/>
      <c r="AW222" s="25" t="s">
        <v>71</v>
      </c>
      <c r="AX222" s="25"/>
      <c r="AY222" s="25" t="s">
        <v>71</v>
      </c>
      <c r="AZ222" s="25"/>
      <c r="BA222" s="25" t="s">
        <v>71</v>
      </c>
      <c r="BB222" s="25"/>
      <c r="BC222" s="25"/>
      <c r="BD222" s="25" t="s">
        <v>71</v>
      </c>
      <c r="BE222" s="25"/>
      <c r="BF222" s="26" t="s">
        <v>71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5" t="s">
        <v>71</v>
      </c>
      <c r="BO222" s="25"/>
      <c r="BP222" s="25"/>
      <c r="BQ222" s="27" t="s">
        <v>71</v>
      </c>
    </row>
    <row r="223" spans="1:69" s="1" customFormat="1" ht="13.5" customHeight="1">
      <c r="A223" s="16" t="s">
        <v>404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220</v>
      </c>
      <c r="N223" s="23"/>
      <c r="O223" s="23"/>
      <c r="P223" s="31" t="s">
        <v>405</v>
      </c>
      <c r="Q223" s="31"/>
      <c r="R223" s="31"/>
      <c r="S223" s="31"/>
      <c r="T223" s="31"/>
      <c r="U223" s="24">
        <f>250000</f>
        <v>250000</v>
      </c>
      <c r="V223" s="24"/>
      <c r="W223" s="24"/>
      <c r="X223" s="25" t="s">
        <v>71</v>
      </c>
      <c r="Y223" s="25"/>
      <c r="Z223" s="25"/>
      <c r="AA223" s="25"/>
      <c r="AB223" s="24">
        <f>250000</f>
        <v>250000</v>
      </c>
      <c r="AC223" s="24"/>
      <c r="AD223" s="24"/>
      <c r="AE223" s="26" t="s">
        <v>71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250000</f>
        <v>250000</v>
      </c>
      <c r="AU223" s="24"/>
      <c r="AV223" s="24"/>
      <c r="AW223" s="25" t="s">
        <v>71</v>
      </c>
      <c r="AX223" s="25"/>
      <c r="AY223" s="24">
        <f>193420</f>
        <v>193420</v>
      </c>
      <c r="AZ223" s="24"/>
      <c r="BA223" s="25" t="s">
        <v>71</v>
      </c>
      <c r="BB223" s="25"/>
      <c r="BC223" s="25"/>
      <c r="BD223" s="24">
        <f>193420</f>
        <v>193420</v>
      </c>
      <c r="BE223" s="24"/>
      <c r="BF223" s="26" t="s">
        <v>71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4">
        <f>193420</f>
        <v>193420</v>
      </c>
      <c r="BO223" s="24"/>
      <c r="BP223" s="24"/>
      <c r="BQ223" s="27" t="s">
        <v>71</v>
      </c>
    </row>
    <row r="224" spans="1:69" s="1" customFormat="1" ht="24" customHeight="1">
      <c r="A224" s="16" t="s">
        <v>239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220</v>
      </c>
      <c r="N224" s="23"/>
      <c r="O224" s="23"/>
      <c r="P224" s="31" t="s">
        <v>406</v>
      </c>
      <c r="Q224" s="31"/>
      <c r="R224" s="31"/>
      <c r="S224" s="31"/>
      <c r="T224" s="31"/>
      <c r="U224" s="24">
        <f>250000</f>
        <v>250000</v>
      </c>
      <c r="V224" s="24"/>
      <c r="W224" s="24"/>
      <c r="X224" s="25" t="s">
        <v>71</v>
      </c>
      <c r="Y224" s="25"/>
      <c r="Z224" s="25"/>
      <c r="AA224" s="25"/>
      <c r="AB224" s="24">
        <f>250000</f>
        <v>250000</v>
      </c>
      <c r="AC224" s="24"/>
      <c r="AD224" s="24"/>
      <c r="AE224" s="26" t="s">
        <v>71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250000</f>
        <v>250000</v>
      </c>
      <c r="AU224" s="24"/>
      <c r="AV224" s="24"/>
      <c r="AW224" s="25" t="s">
        <v>71</v>
      </c>
      <c r="AX224" s="25"/>
      <c r="AY224" s="24">
        <f>193420</f>
        <v>193420</v>
      </c>
      <c r="AZ224" s="24"/>
      <c r="BA224" s="25" t="s">
        <v>71</v>
      </c>
      <c r="BB224" s="25"/>
      <c r="BC224" s="25"/>
      <c r="BD224" s="24">
        <f>193420</f>
        <v>193420</v>
      </c>
      <c r="BE224" s="24"/>
      <c r="BF224" s="26" t="s">
        <v>71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4">
        <f>193420</f>
        <v>193420</v>
      </c>
      <c r="BO224" s="24"/>
      <c r="BP224" s="24"/>
      <c r="BQ224" s="27" t="s">
        <v>71</v>
      </c>
    </row>
    <row r="225" spans="1:69" s="1" customFormat="1" ht="24" customHeight="1">
      <c r="A225" s="16" t="s">
        <v>241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220</v>
      </c>
      <c r="N225" s="23"/>
      <c r="O225" s="23"/>
      <c r="P225" s="31" t="s">
        <v>407</v>
      </c>
      <c r="Q225" s="31"/>
      <c r="R225" s="31"/>
      <c r="S225" s="31"/>
      <c r="T225" s="31"/>
      <c r="U225" s="24">
        <f>250000</f>
        <v>250000</v>
      </c>
      <c r="V225" s="24"/>
      <c r="W225" s="24"/>
      <c r="X225" s="25" t="s">
        <v>71</v>
      </c>
      <c r="Y225" s="25"/>
      <c r="Z225" s="25"/>
      <c r="AA225" s="25"/>
      <c r="AB225" s="24">
        <f>250000</f>
        <v>250000</v>
      </c>
      <c r="AC225" s="24"/>
      <c r="AD225" s="24"/>
      <c r="AE225" s="26" t="s">
        <v>71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250000</f>
        <v>250000</v>
      </c>
      <c r="AU225" s="24"/>
      <c r="AV225" s="24"/>
      <c r="AW225" s="25" t="s">
        <v>71</v>
      </c>
      <c r="AX225" s="25"/>
      <c r="AY225" s="24">
        <f>193420</f>
        <v>193420</v>
      </c>
      <c r="AZ225" s="24"/>
      <c r="BA225" s="25" t="s">
        <v>71</v>
      </c>
      <c r="BB225" s="25"/>
      <c r="BC225" s="25"/>
      <c r="BD225" s="24">
        <f>193420</f>
        <v>193420</v>
      </c>
      <c r="BE225" s="24"/>
      <c r="BF225" s="26" t="s">
        <v>71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193420</f>
        <v>193420</v>
      </c>
      <c r="BO225" s="24"/>
      <c r="BP225" s="24"/>
      <c r="BQ225" s="27" t="s">
        <v>71</v>
      </c>
    </row>
    <row r="226" spans="1:69" s="1" customFormat="1" ht="13.5" customHeight="1">
      <c r="A226" s="16" t="s">
        <v>243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220</v>
      </c>
      <c r="N226" s="23"/>
      <c r="O226" s="23"/>
      <c r="P226" s="31" t="s">
        <v>408</v>
      </c>
      <c r="Q226" s="31"/>
      <c r="R226" s="31"/>
      <c r="S226" s="31"/>
      <c r="T226" s="31"/>
      <c r="U226" s="24">
        <f>250000</f>
        <v>250000</v>
      </c>
      <c r="V226" s="24"/>
      <c r="W226" s="24"/>
      <c r="X226" s="25" t="s">
        <v>71</v>
      </c>
      <c r="Y226" s="25"/>
      <c r="Z226" s="25"/>
      <c r="AA226" s="25"/>
      <c r="AB226" s="24">
        <f>250000</f>
        <v>250000</v>
      </c>
      <c r="AC226" s="24"/>
      <c r="AD226" s="24"/>
      <c r="AE226" s="26" t="s">
        <v>71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250000</f>
        <v>250000</v>
      </c>
      <c r="AU226" s="24"/>
      <c r="AV226" s="24"/>
      <c r="AW226" s="25" t="s">
        <v>71</v>
      </c>
      <c r="AX226" s="25"/>
      <c r="AY226" s="24">
        <f>193420</f>
        <v>193420</v>
      </c>
      <c r="AZ226" s="24"/>
      <c r="BA226" s="25" t="s">
        <v>71</v>
      </c>
      <c r="BB226" s="25"/>
      <c r="BC226" s="25"/>
      <c r="BD226" s="24">
        <f>193420</f>
        <v>193420</v>
      </c>
      <c r="BE226" s="24"/>
      <c r="BF226" s="26" t="s">
        <v>71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193420</f>
        <v>193420</v>
      </c>
      <c r="BO226" s="24"/>
      <c r="BP226" s="24"/>
      <c r="BQ226" s="27" t="s">
        <v>71</v>
      </c>
    </row>
    <row r="227" spans="1:69" s="1" customFormat="1" ht="27" customHeight="1">
      <c r="A227" s="32" t="s">
        <v>409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3" t="s">
        <v>410</v>
      </c>
      <c r="N227" s="33"/>
      <c r="O227" s="33"/>
      <c r="P227" s="33" t="s">
        <v>70</v>
      </c>
      <c r="Q227" s="33"/>
      <c r="R227" s="33"/>
      <c r="S227" s="33"/>
      <c r="T227" s="33"/>
      <c r="U227" s="34">
        <f>-27136487.55</f>
        <v>-27136487.55</v>
      </c>
      <c r="V227" s="34"/>
      <c r="W227" s="34"/>
      <c r="X227" s="35" t="s">
        <v>71</v>
      </c>
      <c r="Y227" s="35"/>
      <c r="Z227" s="35"/>
      <c r="AA227" s="35"/>
      <c r="AB227" s="34">
        <f>-27136487.55</f>
        <v>-27136487.55</v>
      </c>
      <c r="AC227" s="34"/>
      <c r="AD227" s="34"/>
      <c r="AE227" s="36">
        <f>21953928.57</f>
        <v>21953928.57</v>
      </c>
      <c r="AF227" s="37" t="s">
        <v>71</v>
      </c>
      <c r="AG227" s="35" t="s">
        <v>71</v>
      </c>
      <c r="AH227" s="35"/>
      <c r="AI227" s="35"/>
      <c r="AJ227" s="35" t="s">
        <v>71</v>
      </c>
      <c r="AK227" s="35"/>
      <c r="AL227" s="35" t="s">
        <v>71</v>
      </c>
      <c r="AM227" s="35"/>
      <c r="AN227" s="35" t="s">
        <v>71</v>
      </c>
      <c r="AO227" s="35"/>
      <c r="AP227" s="35" t="s">
        <v>71</v>
      </c>
      <c r="AQ227" s="35"/>
      <c r="AR227" s="35"/>
      <c r="AS227" s="37" t="s">
        <v>71</v>
      </c>
      <c r="AT227" s="34">
        <f>-5182558.98</f>
        <v>-5182558.98</v>
      </c>
      <c r="AU227" s="34"/>
      <c r="AV227" s="34"/>
      <c r="AW227" s="35" t="s">
        <v>71</v>
      </c>
      <c r="AX227" s="35"/>
      <c r="AY227" s="34">
        <f>-374447.03</f>
        <v>-374447.03</v>
      </c>
      <c r="AZ227" s="34"/>
      <c r="BA227" s="35" t="s">
        <v>71</v>
      </c>
      <c r="BB227" s="35"/>
      <c r="BC227" s="35"/>
      <c r="BD227" s="34">
        <f>-374447.03</f>
        <v>-374447.03</v>
      </c>
      <c r="BE227" s="34"/>
      <c r="BF227" s="36">
        <f>0</f>
        <v>0</v>
      </c>
      <c r="BG227" s="37" t="s">
        <v>71</v>
      </c>
      <c r="BH227" s="37" t="s">
        <v>71</v>
      </c>
      <c r="BI227" s="37" t="s">
        <v>71</v>
      </c>
      <c r="BJ227" s="37" t="s">
        <v>71</v>
      </c>
      <c r="BK227" s="37" t="s">
        <v>71</v>
      </c>
      <c r="BL227" s="37" t="s">
        <v>71</v>
      </c>
      <c r="BM227" s="37" t="s">
        <v>71</v>
      </c>
      <c r="BN227" s="34">
        <f>-374447.03</f>
        <v>-374447.03</v>
      </c>
      <c r="BO227" s="34"/>
      <c r="BP227" s="34"/>
      <c r="BQ227" s="38" t="s">
        <v>71</v>
      </c>
    </row>
    <row r="228" spans="1:69" s="1" customFormat="1" ht="13.5" customHeight="1">
      <c r="A228" s="29" t="s">
        <v>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</row>
    <row r="229" spans="1:69" s="1" customFormat="1" ht="15.75" customHeight="1">
      <c r="A229" s="12" t="s">
        <v>411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</row>
    <row r="230" spans="1:69" s="1" customFormat="1" ht="28.5" customHeight="1">
      <c r="A230" s="3" t="s">
        <v>21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 t="s">
        <v>22</v>
      </c>
      <c r="N230" s="3"/>
      <c r="O230" s="3"/>
      <c r="P230" s="3" t="s">
        <v>23</v>
      </c>
      <c r="Q230" s="3"/>
      <c r="R230" s="3"/>
      <c r="S230" s="3"/>
      <c r="T230" s="3"/>
      <c r="U230" s="3" t="s">
        <v>24</v>
      </c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 t="s">
        <v>38</v>
      </c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s="1" customFormat="1" ht="126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3" t="s">
        <v>25</v>
      </c>
      <c r="V231" s="13"/>
      <c r="W231" s="13"/>
      <c r="X231" s="13" t="s">
        <v>26</v>
      </c>
      <c r="Y231" s="13"/>
      <c r="Z231" s="13"/>
      <c r="AA231" s="13"/>
      <c r="AB231" s="13" t="s">
        <v>27</v>
      </c>
      <c r="AC231" s="13"/>
      <c r="AD231" s="13"/>
      <c r="AE231" s="14" t="s">
        <v>28</v>
      </c>
      <c r="AF231" s="14" t="s">
        <v>29</v>
      </c>
      <c r="AG231" s="13" t="s">
        <v>30</v>
      </c>
      <c r="AH231" s="13"/>
      <c r="AI231" s="13"/>
      <c r="AJ231" s="13" t="s">
        <v>31</v>
      </c>
      <c r="AK231" s="13"/>
      <c r="AL231" s="13" t="s">
        <v>32</v>
      </c>
      <c r="AM231" s="13"/>
      <c r="AN231" s="13" t="s">
        <v>33</v>
      </c>
      <c r="AO231" s="13"/>
      <c r="AP231" s="13" t="s">
        <v>34</v>
      </c>
      <c r="AQ231" s="13"/>
      <c r="AR231" s="13"/>
      <c r="AS231" s="14" t="s">
        <v>35</v>
      </c>
      <c r="AT231" s="13" t="s">
        <v>36</v>
      </c>
      <c r="AU231" s="13"/>
      <c r="AV231" s="13"/>
      <c r="AW231" s="13" t="s">
        <v>37</v>
      </c>
      <c r="AX231" s="13"/>
      <c r="AY231" s="13" t="s">
        <v>25</v>
      </c>
      <c r="AZ231" s="13"/>
      <c r="BA231" s="13" t="s">
        <v>26</v>
      </c>
      <c r="BB231" s="13"/>
      <c r="BC231" s="13"/>
      <c r="BD231" s="13" t="s">
        <v>27</v>
      </c>
      <c r="BE231" s="13"/>
      <c r="BF231" s="14" t="s">
        <v>28</v>
      </c>
      <c r="BG231" s="14" t="s">
        <v>29</v>
      </c>
      <c r="BH231" s="14" t="s">
        <v>30</v>
      </c>
      <c r="BI231" s="14" t="s">
        <v>31</v>
      </c>
      <c r="BJ231" s="14" t="s">
        <v>32</v>
      </c>
      <c r="BK231" s="14" t="s">
        <v>33</v>
      </c>
      <c r="BL231" s="14" t="s">
        <v>34</v>
      </c>
      <c r="BM231" s="14" t="s">
        <v>35</v>
      </c>
      <c r="BN231" s="13" t="s">
        <v>36</v>
      </c>
      <c r="BO231" s="13"/>
      <c r="BP231" s="13"/>
      <c r="BQ231" s="14" t="s">
        <v>37</v>
      </c>
    </row>
    <row r="232" spans="1:69" s="1" customFormat="1" ht="13.5" customHeight="1">
      <c r="A232" s="3" t="s">
        <v>39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 t="s">
        <v>40</v>
      </c>
      <c r="N232" s="3"/>
      <c r="O232" s="3"/>
      <c r="P232" s="3" t="s">
        <v>41</v>
      </c>
      <c r="Q232" s="3"/>
      <c r="R232" s="3"/>
      <c r="S232" s="3"/>
      <c r="T232" s="3"/>
      <c r="U232" s="3" t="s">
        <v>42</v>
      </c>
      <c r="V232" s="3"/>
      <c r="W232" s="3"/>
      <c r="X232" s="3" t="s">
        <v>43</v>
      </c>
      <c r="Y232" s="3"/>
      <c r="Z232" s="3"/>
      <c r="AA232" s="3"/>
      <c r="AB232" s="3" t="s">
        <v>44</v>
      </c>
      <c r="AC232" s="3"/>
      <c r="AD232" s="3"/>
      <c r="AE232" s="15" t="s">
        <v>45</v>
      </c>
      <c r="AF232" s="15" t="s">
        <v>46</v>
      </c>
      <c r="AG232" s="3" t="s">
        <v>47</v>
      </c>
      <c r="AH232" s="3"/>
      <c r="AI232" s="3"/>
      <c r="AJ232" s="3" t="s">
        <v>48</v>
      </c>
      <c r="AK232" s="3"/>
      <c r="AL232" s="3" t="s">
        <v>49</v>
      </c>
      <c r="AM232" s="3"/>
      <c r="AN232" s="3" t="s">
        <v>50</v>
      </c>
      <c r="AO232" s="3"/>
      <c r="AP232" s="3" t="s">
        <v>51</v>
      </c>
      <c r="AQ232" s="3"/>
      <c r="AR232" s="3"/>
      <c r="AS232" s="15" t="s">
        <v>52</v>
      </c>
      <c r="AT232" s="3" t="s">
        <v>53</v>
      </c>
      <c r="AU232" s="3"/>
      <c r="AV232" s="3"/>
      <c r="AW232" s="3" t="s">
        <v>54</v>
      </c>
      <c r="AX232" s="3"/>
      <c r="AY232" s="3" t="s">
        <v>55</v>
      </c>
      <c r="AZ232" s="3"/>
      <c r="BA232" s="3" t="s">
        <v>56</v>
      </c>
      <c r="BB232" s="3"/>
      <c r="BC232" s="3"/>
      <c r="BD232" s="3" t="s">
        <v>57</v>
      </c>
      <c r="BE232" s="3"/>
      <c r="BF232" s="15" t="s">
        <v>58</v>
      </c>
      <c r="BG232" s="15" t="s">
        <v>59</v>
      </c>
      <c r="BH232" s="15" t="s">
        <v>60</v>
      </c>
      <c r="BI232" s="15" t="s">
        <v>61</v>
      </c>
      <c r="BJ232" s="15" t="s">
        <v>62</v>
      </c>
      <c r="BK232" s="15" t="s">
        <v>63</v>
      </c>
      <c r="BL232" s="15" t="s">
        <v>64</v>
      </c>
      <c r="BM232" s="15" t="s">
        <v>65</v>
      </c>
      <c r="BN232" s="3" t="s">
        <v>66</v>
      </c>
      <c r="BO232" s="3"/>
      <c r="BP232" s="3"/>
      <c r="BQ232" s="15" t="s">
        <v>67</v>
      </c>
    </row>
    <row r="233" spans="1:69" s="1" customFormat="1" ht="27" customHeight="1">
      <c r="A233" s="16" t="s">
        <v>412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7" t="s">
        <v>413</v>
      </c>
      <c r="N233" s="17"/>
      <c r="O233" s="17"/>
      <c r="P233" s="17" t="s">
        <v>70</v>
      </c>
      <c r="Q233" s="17"/>
      <c r="R233" s="17"/>
      <c r="S233" s="17"/>
      <c r="T233" s="17"/>
      <c r="U233" s="18">
        <f>27136487.55</f>
        <v>27136487.55</v>
      </c>
      <c r="V233" s="18"/>
      <c r="W233" s="18"/>
      <c r="X233" s="19" t="s">
        <v>71</v>
      </c>
      <c r="Y233" s="19"/>
      <c r="Z233" s="19"/>
      <c r="AA233" s="19"/>
      <c r="AB233" s="18">
        <f>27136487.55</f>
        <v>27136487.55</v>
      </c>
      <c r="AC233" s="18"/>
      <c r="AD233" s="18"/>
      <c r="AE233" s="20">
        <f>-21953928.57</f>
        <v>-21953928.57</v>
      </c>
      <c r="AF233" s="21" t="s">
        <v>71</v>
      </c>
      <c r="AG233" s="19" t="s">
        <v>71</v>
      </c>
      <c r="AH233" s="19"/>
      <c r="AI233" s="19"/>
      <c r="AJ233" s="19" t="s">
        <v>71</v>
      </c>
      <c r="AK233" s="19"/>
      <c r="AL233" s="19" t="s">
        <v>71</v>
      </c>
      <c r="AM233" s="19"/>
      <c r="AN233" s="19" t="s">
        <v>71</v>
      </c>
      <c r="AO233" s="19"/>
      <c r="AP233" s="19" t="s">
        <v>71</v>
      </c>
      <c r="AQ233" s="19"/>
      <c r="AR233" s="19"/>
      <c r="AS233" s="21" t="s">
        <v>71</v>
      </c>
      <c r="AT233" s="18">
        <f>5182558.98</f>
        <v>5182558.98</v>
      </c>
      <c r="AU233" s="18"/>
      <c r="AV233" s="18"/>
      <c r="AW233" s="19" t="s">
        <v>71</v>
      </c>
      <c r="AX233" s="19"/>
      <c r="AY233" s="18">
        <f>22328364.39</f>
        <v>22328364.39</v>
      </c>
      <c r="AZ233" s="18"/>
      <c r="BA233" s="19" t="s">
        <v>71</v>
      </c>
      <c r="BB233" s="19"/>
      <c r="BC233" s="19"/>
      <c r="BD233" s="18">
        <f>22328364.39</f>
        <v>22328364.39</v>
      </c>
      <c r="BE233" s="18"/>
      <c r="BF233" s="20">
        <f>-21953917.36</f>
        <v>-21953917.36</v>
      </c>
      <c r="BG233" s="21" t="s">
        <v>71</v>
      </c>
      <c r="BH233" s="21" t="s">
        <v>71</v>
      </c>
      <c r="BI233" s="21" t="s">
        <v>71</v>
      </c>
      <c r="BJ233" s="21" t="s">
        <v>71</v>
      </c>
      <c r="BK233" s="21" t="s">
        <v>71</v>
      </c>
      <c r="BL233" s="21" t="s">
        <v>71</v>
      </c>
      <c r="BM233" s="21" t="s">
        <v>71</v>
      </c>
      <c r="BN233" s="18">
        <f>374447.03</f>
        <v>374447.03</v>
      </c>
      <c r="BO233" s="18"/>
      <c r="BP233" s="18"/>
      <c r="BQ233" s="22" t="s">
        <v>71</v>
      </c>
    </row>
    <row r="234" spans="1:69" s="1" customFormat="1" ht="24" customHeight="1">
      <c r="A234" s="16" t="s">
        <v>414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415</v>
      </c>
      <c r="N234" s="23"/>
      <c r="O234" s="23"/>
      <c r="P234" s="23" t="s">
        <v>70</v>
      </c>
      <c r="Q234" s="23"/>
      <c r="R234" s="23"/>
      <c r="S234" s="23"/>
      <c r="T234" s="23"/>
      <c r="U234" s="25" t="s">
        <v>71</v>
      </c>
      <c r="V234" s="25"/>
      <c r="W234" s="25"/>
      <c r="X234" s="25" t="s">
        <v>71</v>
      </c>
      <c r="Y234" s="25"/>
      <c r="Z234" s="25"/>
      <c r="AA234" s="25"/>
      <c r="AB234" s="25" t="s">
        <v>71</v>
      </c>
      <c r="AC234" s="25"/>
      <c r="AD234" s="25"/>
      <c r="AE234" s="26" t="s">
        <v>71</v>
      </c>
      <c r="AF234" s="26" t="s">
        <v>71</v>
      </c>
      <c r="AG234" s="25" t="s">
        <v>71</v>
      </c>
      <c r="AH234" s="25"/>
      <c r="AI234" s="25"/>
      <c r="AJ234" s="25" t="s">
        <v>71</v>
      </c>
      <c r="AK234" s="25"/>
      <c r="AL234" s="25" t="s">
        <v>71</v>
      </c>
      <c r="AM234" s="25"/>
      <c r="AN234" s="25" t="s">
        <v>71</v>
      </c>
      <c r="AO234" s="25"/>
      <c r="AP234" s="25" t="s">
        <v>71</v>
      </c>
      <c r="AQ234" s="25"/>
      <c r="AR234" s="25"/>
      <c r="AS234" s="26" t="s">
        <v>71</v>
      </c>
      <c r="AT234" s="25" t="s">
        <v>71</v>
      </c>
      <c r="AU234" s="25"/>
      <c r="AV234" s="25"/>
      <c r="AW234" s="25" t="s">
        <v>71</v>
      </c>
      <c r="AX234" s="25"/>
      <c r="AY234" s="25" t="s">
        <v>71</v>
      </c>
      <c r="AZ234" s="25"/>
      <c r="BA234" s="25" t="s">
        <v>71</v>
      </c>
      <c r="BB234" s="25"/>
      <c r="BC234" s="25"/>
      <c r="BD234" s="25" t="s">
        <v>71</v>
      </c>
      <c r="BE234" s="25"/>
      <c r="BF234" s="26" t="s">
        <v>71</v>
      </c>
      <c r="BG234" s="26" t="s">
        <v>71</v>
      </c>
      <c r="BH234" s="26" t="s">
        <v>71</v>
      </c>
      <c r="BI234" s="26" t="s">
        <v>71</v>
      </c>
      <c r="BJ234" s="26" t="s">
        <v>71</v>
      </c>
      <c r="BK234" s="26" t="s">
        <v>71</v>
      </c>
      <c r="BL234" s="26" t="s">
        <v>71</v>
      </c>
      <c r="BM234" s="26" t="s">
        <v>71</v>
      </c>
      <c r="BN234" s="25" t="s">
        <v>71</v>
      </c>
      <c r="BO234" s="25"/>
      <c r="BP234" s="25"/>
      <c r="BQ234" s="27" t="s">
        <v>71</v>
      </c>
    </row>
    <row r="235" spans="1:69" s="1" customFormat="1" ht="13.5" customHeight="1">
      <c r="A235" s="16" t="s">
        <v>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415</v>
      </c>
      <c r="N235" s="23"/>
      <c r="O235" s="23"/>
      <c r="P235" s="23" t="s">
        <v>9</v>
      </c>
      <c r="Q235" s="23"/>
      <c r="R235" s="23"/>
      <c r="S235" s="23"/>
      <c r="T235" s="23"/>
      <c r="U235" s="25" t="s">
        <v>71</v>
      </c>
      <c r="V235" s="25"/>
      <c r="W235" s="25"/>
      <c r="X235" s="25" t="s">
        <v>71</v>
      </c>
      <c r="Y235" s="25"/>
      <c r="Z235" s="25"/>
      <c r="AA235" s="25"/>
      <c r="AB235" s="25" t="s">
        <v>71</v>
      </c>
      <c r="AC235" s="25"/>
      <c r="AD235" s="25"/>
      <c r="AE235" s="26" t="s">
        <v>71</v>
      </c>
      <c r="AF235" s="26" t="s">
        <v>71</v>
      </c>
      <c r="AG235" s="25" t="s">
        <v>71</v>
      </c>
      <c r="AH235" s="25"/>
      <c r="AI235" s="25"/>
      <c r="AJ235" s="25" t="s">
        <v>71</v>
      </c>
      <c r="AK235" s="25"/>
      <c r="AL235" s="25" t="s">
        <v>71</v>
      </c>
      <c r="AM235" s="25"/>
      <c r="AN235" s="25" t="s">
        <v>71</v>
      </c>
      <c r="AO235" s="25"/>
      <c r="AP235" s="25" t="s">
        <v>71</v>
      </c>
      <c r="AQ235" s="25"/>
      <c r="AR235" s="25"/>
      <c r="AS235" s="26" t="s">
        <v>71</v>
      </c>
      <c r="AT235" s="25" t="s">
        <v>71</v>
      </c>
      <c r="AU235" s="25"/>
      <c r="AV235" s="25"/>
      <c r="AW235" s="25" t="s">
        <v>71</v>
      </c>
      <c r="AX235" s="25"/>
      <c r="AY235" s="25" t="s">
        <v>71</v>
      </c>
      <c r="AZ235" s="25"/>
      <c r="BA235" s="25" t="s">
        <v>71</v>
      </c>
      <c r="BB235" s="25"/>
      <c r="BC235" s="25"/>
      <c r="BD235" s="25" t="s">
        <v>71</v>
      </c>
      <c r="BE235" s="25"/>
      <c r="BF235" s="26" t="s">
        <v>71</v>
      </c>
      <c r="BG235" s="26" t="s">
        <v>71</v>
      </c>
      <c r="BH235" s="26" t="s">
        <v>71</v>
      </c>
      <c r="BI235" s="26" t="s">
        <v>71</v>
      </c>
      <c r="BJ235" s="26" t="s">
        <v>71</v>
      </c>
      <c r="BK235" s="26" t="s">
        <v>71</v>
      </c>
      <c r="BL235" s="26" t="s">
        <v>71</v>
      </c>
      <c r="BM235" s="26" t="s">
        <v>71</v>
      </c>
      <c r="BN235" s="25" t="s">
        <v>71</v>
      </c>
      <c r="BO235" s="25"/>
      <c r="BP235" s="25"/>
      <c r="BQ235" s="27" t="s">
        <v>71</v>
      </c>
    </row>
    <row r="236" spans="1:69" s="1" customFormat="1" ht="24" customHeight="1">
      <c r="A236" s="16" t="s">
        <v>416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417</v>
      </c>
      <c r="N236" s="23"/>
      <c r="O236" s="23"/>
      <c r="P236" s="23" t="s">
        <v>70</v>
      </c>
      <c r="Q236" s="23"/>
      <c r="R236" s="23"/>
      <c r="S236" s="23"/>
      <c r="T236" s="23"/>
      <c r="U236" s="25" t="s">
        <v>71</v>
      </c>
      <c r="V236" s="25"/>
      <c r="W236" s="25"/>
      <c r="X236" s="25" t="s">
        <v>71</v>
      </c>
      <c r="Y236" s="25"/>
      <c r="Z236" s="25"/>
      <c r="AA236" s="25"/>
      <c r="AB236" s="25" t="s">
        <v>71</v>
      </c>
      <c r="AC236" s="25"/>
      <c r="AD236" s="25"/>
      <c r="AE236" s="26" t="s">
        <v>71</v>
      </c>
      <c r="AF236" s="26" t="s">
        <v>71</v>
      </c>
      <c r="AG236" s="25" t="s">
        <v>71</v>
      </c>
      <c r="AH236" s="25"/>
      <c r="AI236" s="25"/>
      <c r="AJ236" s="25" t="s">
        <v>71</v>
      </c>
      <c r="AK236" s="25"/>
      <c r="AL236" s="25" t="s">
        <v>71</v>
      </c>
      <c r="AM236" s="25"/>
      <c r="AN236" s="25" t="s">
        <v>71</v>
      </c>
      <c r="AO236" s="25"/>
      <c r="AP236" s="25" t="s">
        <v>71</v>
      </c>
      <c r="AQ236" s="25"/>
      <c r="AR236" s="25"/>
      <c r="AS236" s="26" t="s">
        <v>71</v>
      </c>
      <c r="AT236" s="25" t="s">
        <v>71</v>
      </c>
      <c r="AU236" s="25"/>
      <c r="AV236" s="25"/>
      <c r="AW236" s="25" t="s">
        <v>71</v>
      </c>
      <c r="AX236" s="25"/>
      <c r="AY236" s="25" t="s">
        <v>71</v>
      </c>
      <c r="AZ236" s="25"/>
      <c r="BA236" s="25" t="s">
        <v>71</v>
      </c>
      <c r="BB236" s="25"/>
      <c r="BC236" s="25"/>
      <c r="BD236" s="25" t="s">
        <v>71</v>
      </c>
      <c r="BE236" s="25"/>
      <c r="BF236" s="26" t="s">
        <v>71</v>
      </c>
      <c r="BG236" s="26" t="s">
        <v>71</v>
      </c>
      <c r="BH236" s="26" t="s">
        <v>71</v>
      </c>
      <c r="BI236" s="26" t="s">
        <v>71</v>
      </c>
      <c r="BJ236" s="26" t="s">
        <v>71</v>
      </c>
      <c r="BK236" s="26" t="s">
        <v>71</v>
      </c>
      <c r="BL236" s="26" t="s">
        <v>71</v>
      </c>
      <c r="BM236" s="26" t="s">
        <v>71</v>
      </c>
      <c r="BN236" s="25" t="s">
        <v>71</v>
      </c>
      <c r="BO236" s="25"/>
      <c r="BP236" s="25"/>
      <c r="BQ236" s="27" t="s">
        <v>71</v>
      </c>
    </row>
    <row r="237" spans="1:69" s="1" customFormat="1" ht="13.5" customHeight="1">
      <c r="A237" s="16" t="s">
        <v>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417</v>
      </c>
      <c r="N237" s="23"/>
      <c r="O237" s="23"/>
      <c r="P237" s="23" t="s">
        <v>9</v>
      </c>
      <c r="Q237" s="23"/>
      <c r="R237" s="23"/>
      <c r="S237" s="23"/>
      <c r="T237" s="23"/>
      <c r="U237" s="25" t="s">
        <v>71</v>
      </c>
      <c r="V237" s="25"/>
      <c r="W237" s="25"/>
      <c r="X237" s="25" t="s">
        <v>71</v>
      </c>
      <c r="Y237" s="25"/>
      <c r="Z237" s="25"/>
      <c r="AA237" s="25"/>
      <c r="AB237" s="25" t="s">
        <v>71</v>
      </c>
      <c r="AC237" s="25"/>
      <c r="AD237" s="25"/>
      <c r="AE237" s="26" t="s">
        <v>71</v>
      </c>
      <c r="AF237" s="26" t="s">
        <v>71</v>
      </c>
      <c r="AG237" s="25" t="s">
        <v>71</v>
      </c>
      <c r="AH237" s="25"/>
      <c r="AI237" s="25"/>
      <c r="AJ237" s="25" t="s">
        <v>71</v>
      </c>
      <c r="AK237" s="25"/>
      <c r="AL237" s="25" t="s">
        <v>71</v>
      </c>
      <c r="AM237" s="25"/>
      <c r="AN237" s="25" t="s">
        <v>71</v>
      </c>
      <c r="AO237" s="25"/>
      <c r="AP237" s="25" t="s">
        <v>71</v>
      </c>
      <c r="AQ237" s="25"/>
      <c r="AR237" s="25"/>
      <c r="AS237" s="26" t="s">
        <v>71</v>
      </c>
      <c r="AT237" s="25" t="s">
        <v>71</v>
      </c>
      <c r="AU237" s="25"/>
      <c r="AV237" s="25"/>
      <c r="AW237" s="25" t="s">
        <v>71</v>
      </c>
      <c r="AX237" s="25"/>
      <c r="AY237" s="25" t="s">
        <v>71</v>
      </c>
      <c r="AZ237" s="25"/>
      <c r="BA237" s="25" t="s">
        <v>71</v>
      </c>
      <c r="BB237" s="25"/>
      <c r="BC237" s="25"/>
      <c r="BD237" s="25" t="s">
        <v>71</v>
      </c>
      <c r="BE237" s="25"/>
      <c r="BF237" s="26" t="s">
        <v>71</v>
      </c>
      <c r="BG237" s="26" t="s">
        <v>71</v>
      </c>
      <c r="BH237" s="26" t="s">
        <v>71</v>
      </c>
      <c r="BI237" s="26" t="s">
        <v>71</v>
      </c>
      <c r="BJ237" s="26" t="s">
        <v>71</v>
      </c>
      <c r="BK237" s="26" t="s">
        <v>71</v>
      </c>
      <c r="BL237" s="26" t="s">
        <v>71</v>
      </c>
      <c r="BM237" s="26" t="s">
        <v>71</v>
      </c>
      <c r="BN237" s="25" t="s">
        <v>71</v>
      </c>
      <c r="BO237" s="25"/>
      <c r="BP237" s="25"/>
      <c r="BQ237" s="27" t="s">
        <v>71</v>
      </c>
    </row>
    <row r="238" spans="1:69" s="1" customFormat="1" ht="13.5" customHeight="1">
      <c r="A238" s="16" t="s">
        <v>418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419</v>
      </c>
      <c r="N238" s="23"/>
      <c r="O238" s="23"/>
      <c r="P238" s="23" t="s">
        <v>420</v>
      </c>
      <c r="Q238" s="23"/>
      <c r="R238" s="23"/>
      <c r="S238" s="23"/>
      <c r="T238" s="23"/>
      <c r="U238" s="24">
        <f>27136487.55</f>
        <v>27136487.55</v>
      </c>
      <c r="V238" s="24"/>
      <c r="W238" s="24"/>
      <c r="X238" s="25" t="s">
        <v>71</v>
      </c>
      <c r="Y238" s="25"/>
      <c r="Z238" s="25"/>
      <c r="AA238" s="25"/>
      <c r="AB238" s="24">
        <f>27136487.55</f>
        <v>27136487.55</v>
      </c>
      <c r="AC238" s="24"/>
      <c r="AD238" s="24"/>
      <c r="AE238" s="28">
        <f>-21953928.57</f>
        <v>-21953928.57</v>
      </c>
      <c r="AF238" s="26" t="s">
        <v>71</v>
      </c>
      <c r="AG238" s="25" t="s">
        <v>71</v>
      </c>
      <c r="AH238" s="25"/>
      <c r="AI238" s="25"/>
      <c r="AJ238" s="25" t="s">
        <v>71</v>
      </c>
      <c r="AK238" s="25"/>
      <c r="AL238" s="25" t="s">
        <v>71</v>
      </c>
      <c r="AM238" s="25"/>
      <c r="AN238" s="25" t="s">
        <v>71</v>
      </c>
      <c r="AO238" s="25"/>
      <c r="AP238" s="25" t="s">
        <v>71</v>
      </c>
      <c r="AQ238" s="25"/>
      <c r="AR238" s="25"/>
      <c r="AS238" s="26" t="s">
        <v>71</v>
      </c>
      <c r="AT238" s="24">
        <f>5182558.98</f>
        <v>5182558.98</v>
      </c>
      <c r="AU238" s="24"/>
      <c r="AV238" s="24"/>
      <c r="AW238" s="25" t="s">
        <v>71</v>
      </c>
      <c r="AX238" s="25"/>
      <c r="AY238" s="24">
        <f>22328364.39</f>
        <v>22328364.39</v>
      </c>
      <c r="AZ238" s="24"/>
      <c r="BA238" s="25" t="s">
        <v>71</v>
      </c>
      <c r="BB238" s="25"/>
      <c r="BC238" s="25"/>
      <c r="BD238" s="24">
        <f>22328364.39</f>
        <v>22328364.39</v>
      </c>
      <c r="BE238" s="24"/>
      <c r="BF238" s="28">
        <f>-21953917.36</f>
        <v>-21953917.36</v>
      </c>
      <c r="BG238" s="26" t="s">
        <v>71</v>
      </c>
      <c r="BH238" s="26" t="s">
        <v>71</v>
      </c>
      <c r="BI238" s="26" t="s">
        <v>71</v>
      </c>
      <c r="BJ238" s="26" t="s">
        <v>71</v>
      </c>
      <c r="BK238" s="26" t="s">
        <v>71</v>
      </c>
      <c r="BL238" s="26" t="s">
        <v>71</v>
      </c>
      <c r="BM238" s="26" t="s">
        <v>71</v>
      </c>
      <c r="BN238" s="24">
        <f>374447.03</f>
        <v>374447.03</v>
      </c>
      <c r="BO238" s="24"/>
      <c r="BP238" s="24"/>
      <c r="BQ238" s="27" t="s">
        <v>71</v>
      </c>
    </row>
    <row r="239" spans="1:69" s="1" customFormat="1" ht="13.5" customHeight="1">
      <c r="A239" s="16" t="s">
        <v>421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422</v>
      </c>
      <c r="N239" s="23"/>
      <c r="O239" s="23"/>
      <c r="P239" s="23" t="s">
        <v>423</v>
      </c>
      <c r="Q239" s="23"/>
      <c r="R239" s="23"/>
      <c r="S239" s="23"/>
      <c r="T239" s="23"/>
      <c r="U239" s="24">
        <f>-12710038</f>
        <v>-12710038</v>
      </c>
      <c r="V239" s="24"/>
      <c r="W239" s="24"/>
      <c r="X239" s="25" t="s">
        <v>71</v>
      </c>
      <c r="Y239" s="25"/>
      <c r="Z239" s="25"/>
      <c r="AA239" s="25"/>
      <c r="AB239" s="24">
        <f>-12710038</f>
        <v>-12710038</v>
      </c>
      <c r="AC239" s="24"/>
      <c r="AD239" s="24"/>
      <c r="AE239" s="28">
        <f>-22591419.28</f>
        <v>-22591419.28</v>
      </c>
      <c r="AF239" s="26" t="s">
        <v>71</v>
      </c>
      <c r="AG239" s="25" t="s">
        <v>71</v>
      </c>
      <c r="AH239" s="25"/>
      <c r="AI239" s="25"/>
      <c r="AJ239" s="25" t="s">
        <v>71</v>
      </c>
      <c r="AK239" s="25"/>
      <c r="AL239" s="25" t="s">
        <v>71</v>
      </c>
      <c r="AM239" s="25"/>
      <c r="AN239" s="25" t="s">
        <v>71</v>
      </c>
      <c r="AO239" s="25"/>
      <c r="AP239" s="25" t="s">
        <v>71</v>
      </c>
      <c r="AQ239" s="25"/>
      <c r="AR239" s="25"/>
      <c r="AS239" s="26" t="s">
        <v>71</v>
      </c>
      <c r="AT239" s="24">
        <f>-35301457.28</f>
        <v>-35301457.28</v>
      </c>
      <c r="AU239" s="24"/>
      <c r="AV239" s="24"/>
      <c r="AW239" s="25" t="s">
        <v>71</v>
      </c>
      <c r="AX239" s="25"/>
      <c r="AY239" s="24">
        <f>-16393434.53</f>
        <v>-16393434.53</v>
      </c>
      <c r="AZ239" s="24"/>
      <c r="BA239" s="25" t="s">
        <v>71</v>
      </c>
      <c r="BB239" s="25"/>
      <c r="BC239" s="25"/>
      <c r="BD239" s="24">
        <f>-16393434.53</f>
        <v>-16393434.53</v>
      </c>
      <c r="BE239" s="24"/>
      <c r="BF239" s="28">
        <f>-22591408.07</f>
        <v>-22591408.07</v>
      </c>
      <c r="BG239" s="26" t="s">
        <v>71</v>
      </c>
      <c r="BH239" s="26" t="s">
        <v>71</v>
      </c>
      <c r="BI239" s="26" t="s">
        <v>71</v>
      </c>
      <c r="BJ239" s="26" t="s">
        <v>71</v>
      </c>
      <c r="BK239" s="26" t="s">
        <v>71</v>
      </c>
      <c r="BL239" s="26" t="s">
        <v>71</v>
      </c>
      <c r="BM239" s="26" t="s">
        <v>71</v>
      </c>
      <c r="BN239" s="24">
        <f>-38984842.6</f>
        <v>-38984842.6</v>
      </c>
      <c r="BO239" s="24"/>
      <c r="BP239" s="24"/>
      <c r="BQ239" s="27" t="s">
        <v>71</v>
      </c>
    </row>
    <row r="240" spans="1:69" s="1" customFormat="1" ht="13.5" customHeight="1">
      <c r="A240" s="16" t="s">
        <v>424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422</v>
      </c>
      <c r="N240" s="23"/>
      <c r="O240" s="23"/>
      <c r="P240" s="23" t="s">
        <v>425</v>
      </c>
      <c r="Q240" s="23"/>
      <c r="R240" s="23"/>
      <c r="S240" s="23"/>
      <c r="T240" s="23"/>
      <c r="U240" s="24">
        <f>-12710038</f>
        <v>-12710038</v>
      </c>
      <c r="V240" s="24"/>
      <c r="W240" s="24"/>
      <c r="X240" s="25" t="s">
        <v>71</v>
      </c>
      <c r="Y240" s="25"/>
      <c r="Z240" s="25"/>
      <c r="AA240" s="25"/>
      <c r="AB240" s="24">
        <f>-12710038</f>
        <v>-12710038</v>
      </c>
      <c r="AC240" s="24"/>
      <c r="AD240" s="24"/>
      <c r="AE240" s="28">
        <f>-22591419.28</f>
        <v>-22591419.28</v>
      </c>
      <c r="AF240" s="26" t="s">
        <v>71</v>
      </c>
      <c r="AG240" s="25" t="s">
        <v>71</v>
      </c>
      <c r="AH240" s="25"/>
      <c r="AI240" s="25"/>
      <c r="AJ240" s="25" t="s">
        <v>71</v>
      </c>
      <c r="AK240" s="25"/>
      <c r="AL240" s="25" t="s">
        <v>71</v>
      </c>
      <c r="AM240" s="25"/>
      <c r="AN240" s="25" t="s">
        <v>71</v>
      </c>
      <c r="AO240" s="25"/>
      <c r="AP240" s="25" t="s">
        <v>71</v>
      </c>
      <c r="AQ240" s="25"/>
      <c r="AR240" s="25"/>
      <c r="AS240" s="26" t="s">
        <v>71</v>
      </c>
      <c r="AT240" s="24">
        <f>-35301457.28</f>
        <v>-35301457.28</v>
      </c>
      <c r="AU240" s="24"/>
      <c r="AV240" s="24"/>
      <c r="AW240" s="25" t="s">
        <v>71</v>
      </c>
      <c r="AX240" s="25"/>
      <c r="AY240" s="24">
        <f>-16393434.53</f>
        <v>-16393434.53</v>
      </c>
      <c r="AZ240" s="24"/>
      <c r="BA240" s="25" t="s">
        <v>71</v>
      </c>
      <c r="BB240" s="25"/>
      <c r="BC240" s="25"/>
      <c r="BD240" s="24">
        <f>-16393434.53</f>
        <v>-16393434.53</v>
      </c>
      <c r="BE240" s="24"/>
      <c r="BF240" s="28">
        <f>-22591408.07</f>
        <v>-22591408.07</v>
      </c>
      <c r="BG240" s="26" t="s">
        <v>71</v>
      </c>
      <c r="BH240" s="26" t="s">
        <v>71</v>
      </c>
      <c r="BI240" s="26" t="s">
        <v>71</v>
      </c>
      <c r="BJ240" s="26" t="s">
        <v>71</v>
      </c>
      <c r="BK240" s="26" t="s">
        <v>71</v>
      </c>
      <c r="BL240" s="26" t="s">
        <v>71</v>
      </c>
      <c r="BM240" s="26" t="s">
        <v>71</v>
      </c>
      <c r="BN240" s="24">
        <f>-38984842.6</f>
        <v>-38984842.6</v>
      </c>
      <c r="BO240" s="24"/>
      <c r="BP240" s="24"/>
      <c r="BQ240" s="27" t="s">
        <v>71</v>
      </c>
    </row>
    <row r="241" spans="1:69" s="1" customFormat="1" ht="24" customHeight="1">
      <c r="A241" s="16" t="s">
        <v>426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422</v>
      </c>
      <c r="N241" s="23"/>
      <c r="O241" s="23"/>
      <c r="P241" s="23" t="s">
        <v>427</v>
      </c>
      <c r="Q241" s="23"/>
      <c r="R241" s="23"/>
      <c r="S241" s="23"/>
      <c r="T241" s="23"/>
      <c r="U241" s="24">
        <f>-12710038</f>
        <v>-12710038</v>
      </c>
      <c r="V241" s="24"/>
      <c r="W241" s="24"/>
      <c r="X241" s="25" t="s">
        <v>71</v>
      </c>
      <c r="Y241" s="25"/>
      <c r="Z241" s="25"/>
      <c r="AA241" s="25"/>
      <c r="AB241" s="24">
        <f>-12710038</f>
        <v>-12710038</v>
      </c>
      <c r="AC241" s="24"/>
      <c r="AD241" s="24"/>
      <c r="AE241" s="28">
        <f>-22591419.28</f>
        <v>-22591419.28</v>
      </c>
      <c r="AF241" s="26" t="s">
        <v>71</v>
      </c>
      <c r="AG241" s="25" t="s">
        <v>71</v>
      </c>
      <c r="AH241" s="25"/>
      <c r="AI241" s="25"/>
      <c r="AJ241" s="25" t="s">
        <v>71</v>
      </c>
      <c r="AK241" s="25"/>
      <c r="AL241" s="25" t="s">
        <v>71</v>
      </c>
      <c r="AM241" s="25"/>
      <c r="AN241" s="25" t="s">
        <v>71</v>
      </c>
      <c r="AO241" s="25"/>
      <c r="AP241" s="25" t="s">
        <v>71</v>
      </c>
      <c r="AQ241" s="25"/>
      <c r="AR241" s="25"/>
      <c r="AS241" s="26" t="s">
        <v>71</v>
      </c>
      <c r="AT241" s="24">
        <f>-35301457.28</f>
        <v>-35301457.28</v>
      </c>
      <c r="AU241" s="24"/>
      <c r="AV241" s="24"/>
      <c r="AW241" s="25" t="s">
        <v>71</v>
      </c>
      <c r="AX241" s="25"/>
      <c r="AY241" s="24">
        <f>-16393434.53</f>
        <v>-16393434.53</v>
      </c>
      <c r="AZ241" s="24"/>
      <c r="BA241" s="25" t="s">
        <v>71</v>
      </c>
      <c r="BB241" s="25"/>
      <c r="BC241" s="25"/>
      <c r="BD241" s="24">
        <f>-16393434.53</f>
        <v>-16393434.53</v>
      </c>
      <c r="BE241" s="24"/>
      <c r="BF241" s="28">
        <f>-22591408.07</f>
        <v>-22591408.07</v>
      </c>
      <c r="BG241" s="26" t="s">
        <v>71</v>
      </c>
      <c r="BH241" s="26" t="s">
        <v>71</v>
      </c>
      <c r="BI241" s="26" t="s">
        <v>71</v>
      </c>
      <c r="BJ241" s="26" t="s">
        <v>71</v>
      </c>
      <c r="BK241" s="26" t="s">
        <v>71</v>
      </c>
      <c r="BL241" s="26" t="s">
        <v>71</v>
      </c>
      <c r="BM241" s="26" t="s">
        <v>71</v>
      </c>
      <c r="BN241" s="24">
        <f>-38984842.6</f>
        <v>-38984842.6</v>
      </c>
      <c r="BO241" s="24"/>
      <c r="BP241" s="24"/>
      <c r="BQ241" s="27" t="s">
        <v>71</v>
      </c>
    </row>
    <row r="242" spans="1:69" s="1" customFormat="1" ht="24" customHeight="1">
      <c r="A242" s="16" t="s">
        <v>428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422</v>
      </c>
      <c r="N242" s="23"/>
      <c r="O242" s="23"/>
      <c r="P242" s="23" t="s">
        <v>429</v>
      </c>
      <c r="Q242" s="23"/>
      <c r="R242" s="23"/>
      <c r="S242" s="23"/>
      <c r="T242" s="23"/>
      <c r="U242" s="24">
        <f>-12710038</f>
        <v>-12710038</v>
      </c>
      <c r="V242" s="24"/>
      <c r="W242" s="24"/>
      <c r="X242" s="25" t="s">
        <v>71</v>
      </c>
      <c r="Y242" s="25"/>
      <c r="Z242" s="25"/>
      <c r="AA242" s="25"/>
      <c r="AB242" s="24">
        <f>-12710038</f>
        <v>-12710038</v>
      </c>
      <c r="AC242" s="24"/>
      <c r="AD242" s="24"/>
      <c r="AE242" s="28">
        <f>-22591419.28</f>
        <v>-22591419.28</v>
      </c>
      <c r="AF242" s="26" t="s">
        <v>71</v>
      </c>
      <c r="AG242" s="25" t="s">
        <v>71</v>
      </c>
      <c r="AH242" s="25"/>
      <c r="AI242" s="25"/>
      <c r="AJ242" s="25" t="s">
        <v>71</v>
      </c>
      <c r="AK242" s="25"/>
      <c r="AL242" s="25" t="s">
        <v>71</v>
      </c>
      <c r="AM242" s="25"/>
      <c r="AN242" s="25" t="s">
        <v>71</v>
      </c>
      <c r="AO242" s="25"/>
      <c r="AP242" s="25" t="s">
        <v>71</v>
      </c>
      <c r="AQ242" s="25"/>
      <c r="AR242" s="25"/>
      <c r="AS242" s="26" t="s">
        <v>71</v>
      </c>
      <c r="AT242" s="24">
        <f>-35301457.28</f>
        <v>-35301457.28</v>
      </c>
      <c r="AU242" s="24"/>
      <c r="AV242" s="24"/>
      <c r="AW242" s="25" t="s">
        <v>71</v>
      </c>
      <c r="AX242" s="25"/>
      <c r="AY242" s="24">
        <f>-16393434.53</f>
        <v>-16393434.53</v>
      </c>
      <c r="AZ242" s="24"/>
      <c r="BA242" s="25" t="s">
        <v>71</v>
      </c>
      <c r="BB242" s="25"/>
      <c r="BC242" s="25"/>
      <c r="BD242" s="24">
        <f>-16393434.53</f>
        <v>-16393434.53</v>
      </c>
      <c r="BE242" s="24"/>
      <c r="BF242" s="28">
        <f>-22591408.07</f>
        <v>-22591408.07</v>
      </c>
      <c r="BG242" s="26" t="s">
        <v>71</v>
      </c>
      <c r="BH242" s="26" t="s">
        <v>71</v>
      </c>
      <c r="BI242" s="26" t="s">
        <v>71</v>
      </c>
      <c r="BJ242" s="26" t="s">
        <v>71</v>
      </c>
      <c r="BK242" s="26" t="s">
        <v>71</v>
      </c>
      <c r="BL242" s="26" t="s">
        <v>71</v>
      </c>
      <c r="BM242" s="26" t="s">
        <v>71</v>
      </c>
      <c r="BN242" s="24">
        <f>-38984842.6</f>
        <v>-38984842.6</v>
      </c>
      <c r="BO242" s="24"/>
      <c r="BP242" s="24"/>
      <c r="BQ242" s="27" t="s">
        <v>71</v>
      </c>
    </row>
    <row r="243" spans="1:69" s="1" customFormat="1" ht="13.5" customHeight="1">
      <c r="A243" s="16" t="s">
        <v>430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431</v>
      </c>
      <c r="N243" s="23"/>
      <c r="O243" s="23"/>
      <c r="P243" s="23" t="s">
        <v>432</v>
      </c>
      <c r="Q243" s="23"/>
      <c r="R243" s="23"/>
      <c r="S243" s="23"/>
      <c r="T243" s="23"/>
      <c r="U243" s="24">
        <f>39846525.55</f>
        <v>39846525.55</v>
      </c>
      <c r="V243" s="24"/>
      <c r="W243" s="24"/>
      <c r="X243" s="25" t="s">
        <v>71</v>
      </c>
      <c r="Y243" s="25"/>
      <c r="Z243" s="25"/>
      <c r="AA243" s="25"/>
      <c r="AB243" s="24">
        <f>39846525.55</f>
        <v>39846525.55</v>
      </c>
      <c r="AC243" s="24"/>
      <c r="AD243" s="24"/>
      <c r="AE243" s="28">
        <f>637490.71</f>
        <v>637490.71</v>
      </c>
      <c r="AF243" s="26" t="s">
        <v>71</v>
      </c>
      <c r="AG243" s="25" t="s">
        <v>71</v>
      </c>
      <c r="AH243" s="25"/>
      <c r="AI243" s="25"/>
      <c r="AJ243" s="25" t="s">
        <v>71</v>
      </c>
      <c r="AK243" s="25"/>
      <c r="AL243" s="25" t="s">
        <v>71</v>
      </c>
      <c r="AM243" s="25"/>
      <c r="AN243" s="25" t="s">
        <v>71</v>
      </c>
      <c r="AO243" s="25"/>
      <c r="AP243" s="25" t="s">
        <v>71</v>
      </c>
      <c r="AQ243" s="25"/>
      <c r="AR243" s="25"/>
      <c r="AS243" s="26" t="s">
        <v>71</v>
      </c>
      <c r="AT243" s="24">
        <f>40484016.26</f>
        <v>40484016.26</v>
      </c>
      <c r="AU243" s="24"/>
      <c r="AV243" s="24"/>
      <c r="AW243" s="25" t="s">
        <v>71</v>
      </c>
      <c r="AX243" s="25"/>
      <c r="AY243" s="24">
        <f>38721798.92</f>
        <v>38721798.92</v>
      </c>
      <c r="AZ243" s="24"/>
      <c r="BA243" s="25" t="s">
        <v>71</v>
      </c>
      <c r="BB243" s="25"/>
      <c r="BC243" s="25"/>
      <c r="BD243" s="24">
        <f>38721798.92</f>
        <v>38721798.92</v>
      </c>
      <c r="BE243" s="24"/>
      <c r="BF243" s="28">
        <f>637490.71</f>
        <v>637490.71</v>
      </c>
      <c r="BG243" s="26" t="s">
        <v>71</v>
      </c>
      <c r="BH243" s="26" t="s">
        <v>71</v>
      </c>
      <c r="BI243" s="26" t="s">
        <v>71</v>
      </c>
      <c r="BJ243" s="26" t="s">
        <v>71</v>
      </c>
      <c r="BK243" s="26" t="s">
        <v>71</v>
      </c>
      <c r="BL243" s="26" t="s">
        <v>71</v>
      </c>
      <c r="BM243" s="26" t="s">
        <v>71</v>
      </c>
      <c r="BN243" s="24">
        <f>39359289.63</f>
        <v>39359289.63</v>
      </c>
      <c r="BO243" s="24"/>
      <c r="BP243" s="24"/>
      <c r="BQ243" s="27" t="s">
        <v>71</v>
      </c>
    </row>
    <row r="244" spans="1:69" s="1" customFormat="1" ht="13.5" customHeight="1">
      <c r="A244" s="16" t="s">
        <v>433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431</v>
      </c>
      <c r="N244" s="23"/>
      <c r="O244" s="23"/>
      <c r="P244" s="23" t="s">
        <v>434</v>
      </c>
      <c r="Q244" s="23"/>
      <c r="R244" s="23"/>
      <c r="S244" s="23"/>
      <c r="T244" s="23"/>
      <c r="U244" s="24">
        <f>39846525.55</f>
        <v>39846525.55</v>
      </c>
      <c r="V244" s="24"/>
      <c r="W244" s="24"/>
      <c r="X244" s="25" t="s">
        <v>71</v>
      </c>
      <c r="Y244" s="25"/>
      <c r="Z244" s="25"/>
      <c r="AA244" s="25"/>
      <c r="AB244" s="24">
        <f>39846525.55</f>
        <v>39846525.55</v>
      </c>
      <c r="AC244" s="24"/>
      <c r="AD244" s="24"/>
      <c r="AE244" s="28">
        <f>637490.71</f>
        <v>637490.71</v>
      </c>
      <c r="AF244" s="26" t="s">
        <v>71</v>
      </c>
      <c r="AG244" s="25" t="s">
        <v>71</v>
      </c>
      <c r="AH244" s="25"/>
      <c r="AI244" s="25"/>
      <c r="AJ244" s="25" t="s">
        <v>71</v>
      </c>
      <c r="AK244" s="25"/>
      <c r="AL244" s="25" t="s">
        <v>71</v>
      </c>
      <c r="AM244" s="25"/>
      <c r="AN244" s="25" t="s">
        <v>71</v>
      </c>
      <c r="AO244" s="25"/>
      <c r="AP244" s="25" t="s">
        <v>71</v>
      </c>
      <c r="AQ244" s="25"/>
      <c r="AR244" s="25"/>
      <c r="AS244" s="26" t="s">
        <v>71</v>
      </c>
      <c r="AT244" s="24">
        <f>40484016.26</f>
        <v>40484016.26</v>
      </c>
      <c r="AU244" s="24"/>
      <c r="AV244" s="24"/>
      <c r="AW244" s="25" t="s">
        <v>71</v>
      </c>
      <c r="AX244" s="25"/>
      <c r="AY244" s="24">
        <f>38721798.92</f>
        <v>38721798.92</v>
      </c>
      <c r="AZ244" s="24"/>
      <c r="BA244" s="25" t="s">
        <v>71</v>
      </c>
      <c r="BB244" s="25"/>
      <c r="BC244" s="25"/>
      <c r="BD244" s="24">
        <f>38721798.92</f>
        <v>38721798.92</v>
      </c>
      <c r="BE244" s="24"/>
      <c r="BF244" s="28">
        <f>637490.71</f>
        <v>637490.71</v>
      </c>
      <c r="BG244" s="26" t="s">
        <v>71</v>
      </c>
      <c r="BH244" s="26" t="s">
        <v>71</v>
      </c>
      <c r="BI244" s="26" t="s">
        <v>71</v>
      </c>
      <c r="BJ244" s="26" t="s">
        <v>71</v>
      </c>
      <c r="BK244" s="26" t="s">
        <v>71</v>
      </c>
      <c r="BL244" s="26" t="s">
        <v>71</v>
      </c>
      <c r="BM244" s="26" t="s">
        <v>71</v>
      </c>
      <c r="BN244" s="24">
        <f>39359289.63</f>
        <v>39359289.63</v>
      </c>
      <c r="BO244" s="24"/>
      <c r="BP244" s="24"/>
      <c r="BQ244" s="27" t="s">
        <v>71</v>
      </c>
    </row>
    <row r="245" spans="1:69" s="1" customFormat="1" ht="24" customHeight="1">
      <c r="A245" s="16" t="s">
        <v>435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3" t="s">
        <v>431</v>
      </c>
      <c r="N245" s="23"/>
      <c r="O245" s="23"/>
      <c r="P245" s="23" t="s">
        <v>436</v>
      </c>
      <c r="Q245" s="23"/>
      <c r="R245" s="23"/>
      <c r="S245" s="23"/>
      <c r="T245" s="23"/>
      <c r="U245" s="24">
        <f>39846525.55</f>
        <v>39846525.55</v>
      </c>
      <c r="V245" s="24"/>
      <c r="W245" s="24"/>
      <c r="X245" s="25" t="s">
        <v>71</v>
      </c>
      <c r="Y245" s="25"/>
      <c r="Z245" s="25"/>
      <c r="AA245" s="25"/>
      <c r="AB245" s="24">
        <f>39846525.55</f>
        <v>39846525.55</v>
      </c>
      <c r="AC245" s="24"/>
      <c r="AD245" s="24"/>
      <c r="AE245" s="28">
        <f>637490.71</f>
        <v>637490.71</v>
      </c>
      <c r="AF245" s="26" t="s">
        <v>71</v>
      </c>
      <c r="AG245" s="25" t="s">
        <v>71</v>
      </c>
      <c r="AH245" s="25"/>
      <c r="AI245" s="25"/>
      <c r="AJ245" s="25" t="s">
        <v>71</v>
      </c>
      <c r="AK245" s="25"/>
      <c r="AL245" s="25" t="s">
        <v>71</v>
      </c>
      <c r="AM245" s="25"/>
      <c r="AN245" s="25" t="s">
        <v>71</v>
      </c>
      <c r="AO245" s="25"/>
      <c r="AP245" s="25" t="s">
        <v>71</v>
      </c>
      <c r="AQ245" s="25"/>
      <c r="AR245" s="25"/>
      <c r="AS245" s="26" t="s">
        <v>71</v>
      </c>
      <c r="AT245" s="24">
        <f>40484016.26</f>
        <v>40484016.26</v>
      </c>
      <c r="AU245" s="24"/>
      <c r="AV245" s="24"/>
      <c r="AW245" s="25" t="s">
        <v>71</v>
      </c>
      <c r="AX245" s="25"/>
      <c r="AY245" s="24">
        <f>38721798.92</f>
        <v>38721798.92</v>
      </c>
      <c r="AZ245" s="24"/>
      <c r="BA245" s="25" t="s">
        <v>71</v>
      </c>
      <c r="BB245" s="25"/>
      <c r="BC245" s="25"/>
      <c r="BD245" s="24">
        <f>38721798.92</f>
        <v>38721798.92</v>
      </c>
      <c r="BE245" s="24"/>
      <c r="BF245" s="28">
        <f>637490.71</f>
        <v>637490.71</v>
      </c>
      <c r="BG245" s="26" t="s">
        <v>71</v>
      </c>
      <c r="BH245" s="26" t="s">
        <v>71</v>
      </c>
      <c r="BI245" s="26" t="s">
        <v>71</v>
      </c>
      <c r="BJ245" s="26" t="s">
        <v>71</v>
      </c>
      <c r="BK245" s="26" t="s">
        <v>71</v>
      </c>
      <c r="BL245" s="26" t="s">
        <v>71</v>
      </c>
      <c r="BM245" s="26" t="s">
        <v>71</v>
      </c>
      <c r="BN245" s="24">
        <f>39359289.63</f>
        <v>39359289.63</v>
      </c>
      <c r="BO245" s="24"/>
      <c r="BP245" s="24"/>
      <c r="BQ245" s="27" t="s">
        <v>71</v>
      </c>
    </row>
    <row r="246" spans="1:69" s="1" customFormat="1" ht="24" customHeight="1">
      <c r="A246" s="16" t="s">
        <v>437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23" t="s">
        <v>431</v>
      </c>
      <c r="N246" s="23"/>
      <c r="O246" s="23"/>
      <c r="P246" s="23" t="s">
        <v>438</v>
      </c>
      <c r="Q246" s="23"/>
      <c r="R246" s="23"/>
      <c r="S246" s="23"/>
      <c r="T246" s="23"/>
      <c r="U246" s="24">
        <f>39846525.55</f>
        <v>39846525.55</v>
      </c>
      <c r="V246" s="24"/>
      <c r="W246" s="24"/>
      <c r="X246" s="25" t="s">
        <v>71</v>
      </c>
      <c r="Y246" s="25"/>
      <c r="Z246" s="25"/>
      <c r="AA246" s="25"/>
      <c r="AB246" s="24">
        <f>39846525.55</f>
        <v>39846525.55</v>
      </c>
      <c r="AC246" s="24"/>
      <c r="AD246" s="24"/>
      <c r="AE246" s="28">
        <f>637490.71</f>
        <v>637490.71</v>
      </c>
      <c r="AF246" s="26" t="s">
        <v>71</v>
      </c>
      <c r="AG246" s="25" t="s">
        <v>71</v>
      </c>
      <c r="AH246" s="25"/>
      <c r="AI246" s="25"/>
      <c r="AJ246" s="25" t="s">
        <v>71</v>
      </c>
      <c r="AK246" s="25"/>
      <c r="AL246" s="25" t="s">
        <v>71</v>
      </c>
      <c r="AM246" s="25"/>
      <c r="AN246" s="25" t="s">
        <v>71</v>
      </c>
      <c r="AO246" s="25"/>
      <c r="AP246" s="25" t="s">
        <v>71</v>
      </c>
      <c r="AQ246" s="25"/>
      <c r="AR246" s="25"/>
      <c r="AS246" s="26" t="s">
        <v>71</v>
      </c>
      <c r="AT246" s="24">
        <f>40484016.26</f>
        <v>40484016.26</v>
      </c>
      <c r="AU246" s="24"/>
      <c r="AV246" s="24"/>
      <c r="AW246" s="25" t="s">
        <v>71</v>
      </c>
      <c r="AX246" s="25"/>
      <c r="AY246" s="24">
        <f>38721798.92</f>
        <v>38721798.92</v>
      </c>
      <c r="AZ246" s="24"/>
      <c r="BA246" s="25" t="s">
        <v>71</v>
      </c>
      <c r="BB246" s="25"/>
      <c r="BC246" s="25"/>
      <c r="BD246" s="24">
        <f>38721798.92</f>
        <v>38721798.92</v>
      </c>
      <c r="BE246" s="24"/>
      <c r="BF246" s="28">
        <f>637490.71</f>
        <v>637490.71</v>
      </c>
      <c r="BG246" s="26" t="s">
        <v>71</v>
      </c>
      <c r="BH246" s="26" t="s">
        <v>71</v>
      </c>
      <c r="BI246" s="26" t="s">
        <v>71</v>
      </c>
      <c r="BJ246" s="26" t="s">
        <v>71</v>
      </c>
      <c r="BK246" s="26" t="s">
        <v>71</v>
      </c>
      <c r="BL246" s="26" t="s">
        <v>71</v>
      </c>
      <c r="BM246" s="26" t="s">
        <v>71</v>
      </c>
      <c r="BN246" s="24">
        <f>39359289.63</f>
        <v>39359289.63</v>
      </c>
      <c r="BO246" s="24"/>
      <c r="BP246" s="24"/>
      <c r="BQ246" s="27" t="s">
        <v>71</v>
      </c>
    </row>
    <row r="247" spans="1:69" s="1" customFormat="1" ht="13.5" customHeight="1">
      <c r="A247" s="29" t="s">
        <v>9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0" t="s">
        <v>9</v>
      </c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</row>
    <row r="248" spans="1:69" s="1" customFormat="1" ht="15.75" customHeight="1">
      <c r="A248" s="12" t="s">
        <v>439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</row>
    <row r="249" spans="1:69" s="1" customFormat="1" ht="13.5" customHeight="1">
      <c r="A249" s="39" t="s">
        <v>440</v>
      </c>
      <c r="B249" s="3" t="s">
        <v>21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 t="s">
        <v>22</v>
      </c>
      <c r="W249" s="3"/>
      <c r="X249" s="3"/>
      <c r="Y249" s="40" t="s">
        <v>441</v>
      </c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3" t="s">
        <v>444</v>
      </c>
      <c r="BA249" s="3"/>
      <c r="BB249" s="3"/>
      <c r="BC249" s="3"/>
      <c r="BD249" s="3"/>
      <c r="BE249" s="29" t="s">
        <v>9</v>
      </c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66" customHeight="1">
      <c r="A250" s="3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 t="s">
        <v>29</v>
      </c>
      <c r="Z250" s="3"/>
      <c r="AA250" s="3"/>
      <c r="AB250" s="3"/>
      <c r="AC250" s="3" t="s">
        <v>30</v>
      </c>
      <c r="AD250" s="3"/>
      <c r="AE250" s="3"/>
      <c r="AF250" s="3" t="s">
        <v>31</v>
      </c>
      <c r="AG250" s="3"/>
      <c r="AH250" s="3"/>
      <c r="AI250" s="3" t="s">
        <v>32</v>
      </c>
      <c r="AJ250" s="3"/>
      <c r="AK250" s="3" t="s">
        <v>33</v>
      </c>
      <c r="AL250" s="3"/>
      <c r="AM250" s="3"/>
      <c r="AN250" s="3"/>
      <c r="AO250" s="3" t="s">
        <v>34</v>
      </c>
      <c r="AP250" s="3"/>
      <c r="AQ250" s="3"/>
      <c r="AR250" s="3" t="s">
        <v>35</v>
      </c>
      <c r="AS250" s="3"/>
      <c r="AT250" s="3"/>
      <c r="AU250" s="3" t="s">
        <v>442</v>
      </c>
      <c r="AV250" s="3"/>
      <c r="AW250" s="3"/>
      <c r="AX250" s="3" t="s">
        <v>443</v>
      </c>
      <c r="AY250" s="3"/>
      <c r="AZ250" s="3"/>
      <c r="BA250" s="3"/>
      <c r="BB250" s="3"/>
      <c r="BC250" s="3"/>
      <c r="BD250" s="3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13.5" customHeight="1">
      <c r="A251" s="39"/>
      <c r="B251" s="23" t="s">
        <v>39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 t="s">
        <v>40</v>
      </c>
      <c r="W251" s="23"/>
      <c r="X251" s="23"/>
      <c r="Y251" s="23" t="s">
        <v>41</v>
      </c>
      <c r="Z251" s="23"/>
      <c r="AA251" s="23"/>
      <c r="AB251" s="23"/>
      <c r="AC251" s="23" t="s">
        <v>42</v>
      </c>
      <c r="AD251" s="23"/>
      <c r="AE251" s="23"/>
      <c r="AF251" s="23" t="s">
        <v>43</v>
      </c>
      <c r="AG251" s="23"/>
      <c r="AH251" s="23"/>
      <c r="AI251" s="23" t="s">
        <v>44</v>
      </c>
      <c r="AJ251" s="23"/>
      <c r="AK251" s="23" t="s">
        <v>45</v>
      </c>
      <c r="AL251" s="23"/>
      <c r="AM251" s="23"/>
      <c r="AN251" s="23"/>
      <c r="AO251" s="23" t="s">
        <v>46</v>
      </c>
      <c r="AP251" s="23"/>
      <c r="AQ251" s="23"/>
      <c r="AR251" s="23" t="s">
        <v>47</v>
      </c>
      <c r="AS251" s="23"/>
      <c r="AT251" s="23"/>
      <c r="AU251" s="23" t="s">
        <v>48</v>
      </c>
      <c r="AV251" s="23"/>
      <c r="AW251" s="23"/>
      <c r="AX251" s="23" t="s">
        <v>49</v>
      </c>
      <c r="AY251" s="23"/>
      <c r="AZ251" s="23" t="s">
        <v>50</v>
      </c>
      <c r="BA251" s="23"/>
      <c r="BB251" s="23"/>
      <c r="BC251" s="23"/>
      <c r="BD251" s="23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41" t="s">
        <v>445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2" t="s">
        <v>446</v>
      </c>
      <c r="W252" s="42"/>
      <c r="X252" s="42"/>
      <c r="Y252" s="19" t="s">
        <v>71</v>
      </c>
      <c r="Z252" s="19"/>
      <c r="AA252" s="19"/>
      <c r="AB252" s="19"/>
      <c r="AC252" s="19" t="s">
        <v>71</v>
      </c>
      <c r="AD252" s="19"/>
      <c r="AE252" s="19"/>
      <c r="AF252" s="19" t="s">
        <v>71</v>
      </c>
      <c r="AG252" s="19"/>
      <c r="AH252" s="19"/>
      <c r="AI252" s="19" t="s">
        <v>71</v>
      </c>
      <c r="AJ252" s="19"/>
      <c r="AK252" s="19" t="s">
        <v>71</v>
      </c>
      <c r="AL252" s="19"/>
      <c r="AM252" s="19"/>
      <c r="AN252" s="19"/>
      <c r="AO252" s="18">
        <f>0</f>
        <v>0</v>
      </c>
      <c r="AP252" s="18"/>
      <c r="AQ252" s="18"/>
      <c r="AR252" s="19" t="s">
        <v>71</v>
      </c>
      <c r="AS252" s="19"/>
      <c r="AT252" s="19"/>
      <c r="AU252" s="19" t="s">
        <v>71</v>
      </c>
      <c r="AV252" s="19"/>
      <c r="AW252" s="19"/>
      <c r="AX252" s="19" t="s">
        <v>71</v>
      </c>
      <c r="AY252" s="19"/>
      <c r="AZ252" s="43">
        <f>0</f>
        <v>0</v>
      </c>
      <c r="BA252" s="43"/>
      <c r="BB252" s="43"/>
      <c r="BC252" s="43"/>
      <c r="BD252" s="43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44" t="s">
        <v>447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5" t="s">
        <v>448</v>
      </c>
      <c r="W253" s="45"/>
      <c r="X253" s="45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13.5" customHeight="1">
      <c r="A254" s="39"/>
      <c r="B254" s="47" t="s">
        <v>449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8" t="s">
        <v>9</v>
      </c>
      <c r="W254" s="48"/>
      <c r="X254" s="48"/>
      <c r="Y254" s="49" t="s">
        <v>9</v>
      </c>
      <c r="Z254" s="49"/>
      <c r="AA254" s="49"/>
      <c r="AB254" s="49"/>
      <c r="AC254" s="49" t="s">
        <v>9</v>
      </c>
      <c r="AD254" s="49"/>
      <c r="AE254" s="49"/>
      <c r="AF254" s="49" t="s">
        <v>9</v>
      </c>
      <c r="AG254" s="49"/>
      <c r="AH254" s="49"/>
      <c r="AI254" s="49" t="s">
        <v>9</v>
      </c>
      <c r="AJ254" s="49"/>
      <c r="AK254" s="49" t="s">
        <v>9</v>
      </c>
      <c r="AL254" s="49"/>
      <c r="AM254" s="49"/>
      <c r="AN254" s="49"/>
      <c r="AO254" s="49" t="s">
        <v>9</v>
      </c>
      <c r="AP254" s="49"/>
      <c r="AQ254" s="49"/>
      <c r="AR254" s="49" t="s">
        <v>9</v>
      </c>
      <c r="AS254" s="49"/>
      <c r="AT254" s="49"/>
      <c r="AU254" s="49" t="s">
        <v>9</v>
      </c>
      <c r="AV254" s="49"/>
      <c r="AW254" s="49"/>
      <c r="AX254" s="49" t="s">
        <v>9</v>
      </c>
      <c r="AY254" s="49"/>
      <c r="AZ254" s="50" t="s">
        <v>9</v>
      </c>
      <c r="BA254" s="50"/>
      <c r="BB254" s="50"/>
      <c r="BC254" s="50"/>
      <c r="BD254" s="50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13.5" customHeight="1">
      <c r="A255" s="39"/>
      <c r="B255" s="51" t="s">
        <v>9</v>
      </c>
      <c r="C255" s="52" t="s">
        <v>450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3" t="s">
        <v>451</v>
      </c>
      <c r="W255" s="53"/>
      <c r="X255" s="53"/>
      <c r="Y255" s="54" t="s">
        <v>71</v>
      </c>
      <c r="Z255" s="54"/>
      <c r="AA255" s="54"/>
      <c r="AB255" s="54"/>
      <c r="AC255" s="54" t="s">
        <v>71</v>
      </c>
      <c r="AD255" s="54"/>
      <c r="AE255" s="54"/>
      <c r="AF255" s="54" t="s">
        <v>71</v>
      </c>
      <c r="AG255" s="54"/>
      <c r="AH255" s="54"/>
      <c r="AI255" s="54" t="s">
        <v>71</v>
      </c>
      <c r="AJ255" s="54"/>
      <c r="AK255" s="54" t="s">
        <v>71</v>
      </c>
      <c r="AL255" s="54"/>
      <c r="AM255" s="54"/>
      <c r="AN255" s="54"/>
      <c r="AO255" s="54" t="s">
        <v>71</v>
      </c>
      <c r="AP255" s="54"/>
      <c r="AQ255" s="54"/>
      <c r="AR255" s="54" t="s">
        <v>71</v>
      </c>
      <c r="AS255" s="54"/>
      <c r="AT255" s="54"/>
      <c r="AU255" s="54" t="s">
        <v>71</v>
      </c>
      <c r="AV255" s="54"/>
      <c r="AW255" s="54"/>
      <c r="AX255" s="54" t="s">
        <v>71</v>
      </c>
      <c r="AY255" s="54"/>
      <c r="AZ255" s="55" t="s">
        <v>71</v>
      </c>
      <c r="BA255" s="55"/>
      <c r="BB255" s="55"/>
      <c r="BC255" s="55"/>
      <c r="BD255" s="55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452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453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56" t="s">
        <v>9</v>
      </c>
      <c r="C257" s="57" t="s">
        <v>454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455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56" t="s">
        <v>9</v>
      </c>
      <c r="C258" s="57" t="s">
        <v>249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456</v>
      </c>
      <c r="W258" s="58"/>
      <c r="X258" s="58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56" t="s">
        <v>9</v>
      </c>
      <c r="C259" s="57" t="s">
        <v>457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458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24" customHeight="1">
      <c r="A260" s="39"/>
      <c r="B260" s="56" t="s">
        <v>9</v>
      </c>
      <c r="C260" s="57" t="s">
        <v>459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460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24" customHeight="1">
      <c r="A261" s="39"/>
      <c r="B261" s="56" t="s">
        <v>9</v>
      </c>
      <c r="C261" s="57" t="s">
        <v>461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462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56" t="s">
        <v>9</v>
      </c>
      <c r="C262" s="57" t="s">
        <v>463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464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24" customHeight="1">
      <c r="A263" s="39"/>
      <c r="B263" s="56" t="s">
        <v>9</v>
      </c>
      <c r="C263" s="57" t="s">
        <v>465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466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24" customHeight="1">
      <c r="A264" s="39"/>
      <c r="B264" s="44" t="s">
        <v>467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5" t="s">
        <v>468</v>
      </c>
      <c r="W264" s="45"/>
      <c r="X264" s="45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13.5" customHeight="1">
      <c r="A265" s="39"/>
      <c r="B265" s="47" t="s">
        <v>449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8" t="s">
        <v>9</v>
      </c>
      <c r="W265" s="48"/>
      <c r="X265" s="48"/>
      <c r="Y265" s="49" t="s">
        <v>9</v>
      </c>
      <c r="Z265" s="49"/>
      <c r="AA265" s="49"/>
      <c r="AB265" s="49"/>
      <c r="AC265" s="49" t="s">
        <v>9</v>
      </c>
      <c r="AD265" s="49"/>
      <c r="AE265" s="49"/>
      <c r="AF265" s="49" t="s">
        <v>9</v>
      </c>
      <c r="AG265" s="49"/>
      <c r="AH265" s="49"/>
      <c r="AI265" s="49" t="s">
        <v>9</v>
      </c>
      <c r="AJ265" s="49"/>
      <c r="AK265" s="49" t="s">
        <v>9</v>
      </c>
      <c r="AL265" s="49"/>
      <c r="AM265" s="49"/>
      <c r="AN265" s="49"/>
      <c r="AO265" s="49" t="s">
        <v>9</v>
      </c>
      <c r="AP265" s="49"/>
      <c r="AQ265" s="49"/>
      <c r="AR265" s="49" t="s">
        <v>9</v>
      </c>
      <c r="AS265" s="49"/>
      <c r="AT265" s="49"/>
      <c r="AU265" s="49" t="s">
        <v>9</v>
      </c>
      <c r="AV265" s="49"/>
      <c r="AW265" s="49"/>
      <c r="AX265" s="49" t="s">
        <v>9</v>
      </c>
      <c r="AY265" s="49"/>
      <c r="AZ265" s="50" t="s">
        <v>9</v>
      </c>
      <c r="BA265" s="50"/>
      <c r="BB265" s="50"/>
      <c r="BC265" s="50"/>
      <c r="BD265" s="50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51" t="s">
        <v>9</v>
      </c>
      <c r="C266" s="52" t="s">
        <v>450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3" t="s">
        <v>469</v>
      </c>
      <c r="W266" s="53"/>
      <c r="X266" s="53"/>
      <c r="Y266" s="54" t="s">
        <v>71</v>
      </c>
      <c r="Z266" s="54"/>
      <c r="AA266" s="54"/>
      <c r="AB266" s="54"/>
      <c r="AC266" s="54" t="s">
        <v>71</v>
      </c>
      <c r="AD266" s="54"/>
      <c r="AE266" s="54"/>
      <c r="AF266" s="54" t="s">
        <v>71</v>
      </c>
      <c r="AG266" s="54"/>
      <c r="AH266" s="54"/>
      <c r="AI266" s="54" t="s">
        <v>71</v>
      </c>
      <c r="AJ266" s="54"/>
      <c r="AK266" s="54" t="s">
        <v>71</v>
      </c>
      <c r="AL266" s="54"/>
      <c r="AM266" s="54"/>
      <c r="AN266" s="54"/>
      <c r="AO266" s="54" t="s">
        <v>71</v>
      </c>
      <c r="AP266" s="54"/>
      <c r="AQ266" s="54"/>
      <c r="AR266" s="54" t="s">
        <v>71</v>
      </c>
      <c r="AS266" s="54"/>
      <c r="AT266" s="54"/>
      <c r="AU266" s="54" t="s">
        <v>71</v>
      </c>
      <c r="AV266" s="54"/>
      <c r="AW266" s="54"/>
      <c r="AX266" s="54" t="s">
        <v>71</v>
      </c>
      <c r="AY266" s="54"/>
      <c r="AZ266" s="55" t="s">
        <v>71</v>
      </c>
      <c r="BA266" s="55"/>
      <c r="BB266" s="55"/>
      <c r="BC266" s="55"/>
      <c r="BD266" s="55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452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470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56" t="s">
        <v>9</v>
      </c>
      <c r="C268" s="57" t="s">
        <v>454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471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56" t="s">
        <v>9</v>
      </c>
      <c r="C269" s="57" t="s">
        <v>249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472</v>
      </c>
      <c r="W269" s="58"/>
      <c r="X269" s="58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56" t="s">
        <v>9</v>
      </c>
      <c r="C270" s="57" t="s">
        <v>457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473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24" customHeight="1">
      <c r="A271" s="39"/>
      <c r="B271" s="56" t="s">
        <v>9</v>
      </c>
      <c r="C271" s="57" t="s">
        <v>459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474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24" customHeight="1">
      <c r="A272" s="39"/>
      <c r="B272" s="56" t="s">
        <v>9</v>
      </c>
      <c r="C272" s="57" t="s">
        <v>461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475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56" t="s">
        <v>9</v>
      </c>
      <c r="C273" s="57" t="s">
        <v>463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476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24" customHeight="1">
      <c r="A274" s="39"/>
      <c r="B274" s="56" t="s">
        <v>9</v>
      </c>
      <c r="C274" s="57" t="s">
        <v>465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477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44" t="s">
        <v>478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5" t="s">
        <v>479</v>
      </c>
      <c r="W275" s="45"/>
      <c r="X275" s="45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13.5" customHeight="1">
      <c r="A276" s="39"/>
      <c r="B276" s="47" t="s">
        <v>449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8" t="s">
        <v>9</v>
      </c>
      <c r="W276" s="48"/>
      <c r="X276" s="48"/>
      <c r="Y276" s="49" t="s">
        <v>9</v>
      </c>
      <c r="Z276" s="49"/>
      <c r="AA276" s="49"/>
      <c r="AB276" s="49"/>
      <c r="AC276" s="49" t="s">
        <v>9</v>
      </c>
      <c r="AD276" s="49"/>
      <c r="AE276" s="49"/>
      <c r="AF276" s="49" t="s">
        <v>9</v>
      </c>
      <c r="AG276" s="49"/>
      <c r="AH276" s="49"/>
      <c r="AI276" s="49" t="s">
        <v>9</v>
      </c>
      <c r="AJ276" s="49"/>
      <c r="AK276" s="49" t="s">
        <v>9</v>
      </c>
      <c r="AL276" s="49"/>
      <c r="AM276" s="49"/>
      <c r="AN276" s="49"/>
      <c r="AO276" s="49" t="s">
        <v>9</v>
      </c>
      <c r="AP276" s="49"/>
      <c r="AQ276" s="49"/>
      <c r="AR276" s="49" t="s">
        <v>9</v>
      </c>
      <c r="AS276" s="49"/>
      <c r="AT276" s="49"/>
      <c r="AU276" s="49" t="s">
        <v>9</v>
      </c>
      <c r="AV276" s="49"/>
      <c r="AW276" s="49"/>
      <c r="AX276" s="49" t="s">
        <v>9</v>
      </c>
      <c r="AY276" s="49"/>
      <c r="AZ276" s="50" t="s">
        <v>9</v>
      </c>
      <c r="BA276" s="50"/>
      <c r="BB276" s="50"/>
      <c r="BC276" s="50"/>
      <c r="BD276" s="50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13.5" customHeight="1">
      <c r="A277" s="39"/>
      <c r="B277" s="51" t="s">
        <v>9</v>
      </c>
      <c r="C277" s="52" t="s">
        <v>450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3" t="s">
        <v>480</v>
      </c>
      <c r="W277" s="53"/>
      <c r="X277" s="53"/>
      <c r="Y277" s="54" t="s">
        <v>71</v>
      </c>
      <c r="Z277" s="54"/>
      <c r="AA277" s="54"/>
      <c r="AB277" s="54"/>
      <c r="AC277" s="54" t="s">
        <v>71</v>
      </c>
      <c r="AD277" s="54"/>
      <c r="AE277" s="54"/>
      <c r="AF277" s="54" t="s">
        <v>71</v>
      </c>
      <c r="AG277" s="54"/>
      <c r="AH277" s="54"/>
      <c r="AI277" s="54" t="s">
        <v>71</v>
      </c>
      <c r="AJ277" s="54"/>
      <c r="AK277" s="54" t="s">
        <v>71</v>
      </c>
      <c r="AL277" s="54"/>
      <c r="AM277" s="54"/>
      <c r="AN277" s="54"/>
      <c r="AO277" s="54" t="s">
        <v>71</v>
      </c>
      <c r="AP277" s="54"/>
      <c r="AQ277" s="54"/>
      <c r="AR277" s="54" t="s">
        <v>71</v>
      </c>
      <c r="AS277" s="54"/>
      <c r="AT277" s="54"/>
      <c r="AU277" s="54" t="s">
        <v>71</v>
      </c>
      <c r="AV277" s="54"/>
      <c r="AW277" s="54"/>
      <c r="AX277" s="54" t="s">
        <v>71</v>
      </c>
      <c r="AY277" s="54"/>
      <c r="AZ277" s="55" t="s">
        <v>71</v>
      </c>
      <c r="BA277" s="55"/>
      <c r="BB277" s="55"/>
      <c r="BC277" s="55"/>
      <c r="BD277" s="55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452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481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56" t="s">
        <v>9</v>
      </c>
      <c r="C279" s="57" t="s">
        <v>454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482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13.5" customHeight="1">
      <c r="A280" s="39"/>
      <c r="B280" s="56" t="s">
        <v>9</v>
      </c>
      <c r="C280" s="57" t="s">
        <v>249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483</v>
      </c>
      <c r="W280" s="58"/>
      <c r="X280" s="58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56" t="s">
        <v>9</v>
      </c>
      <c r="C281" s="57" t="s">
        <v>457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484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24" customHeight="1">
      <c r="A282" s="39"/>
      <c r="B282" s="56" t="s">
        <v>9</v>
      </c>
      <c r="C282" s="57" t="s">
        <v>459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485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24" customHeight="1">
      <c r="A283" s="39"/>
      <c r="B283" s="56" t="s">
        <v>9</v>
      </c>
      <c r="C283" s="57" t="s">
        <v>461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486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13.5" customHeight="1">
      <c r="A284" s="39"/>
      <c r="B284" s="56" t="s">
        <v>9</v>
      </c>
      <c r="C284" s="57" t="s">
        <v>463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487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24" customHeight="1">
      <c r="A285" s="39"/>
      <c r="B285" s="56" t="s">
        <v>9</v>
      </c>
      <c r="C285" s="57" t="s">
        <v>465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488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44" t="s">
        <v>489</v>
      </c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5" t="s">
        <v>490</v>
      </c>
      <c r="W286" s="45"/>
      <c r="X286" s="45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13.5" customHeight="1">
      <c r="A287" s="39"/>
      <c r="B287" s="47" t="s">
        <v>449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8" t="s">
        <v>9</v>
      </c>
      <c r="W287" s="48"/>
      <c r="X287" s="48"/>
      <c r="Y287" s="49" t="s">
        <v>9</v>
      </c>
      <c r="Z287" s="49"/>
      <c r="AA287" s="49"/>
      <c r="AB287" s="49"/>
      <c r="AC287" s="49" t="s">
        <v>9</v>
      </c>
      <c r="AD287" s="49"/>
      <c r="AE287" s="49"/>
      <c r="AF287" s="49" t="s">
        <v>9</v>
      </c>
      <c r="AG287" s="49"/>
      <c r="AH287" s="49"/>
      <c r="AI287" s="49" t="s">
        <v>9</v>
      </c>
      <c r="AJ287" s="49"/>
      <c r="AK287" s="49" t="s">
        <v>9</v>
      </c>
      <c r="AL287" s="49"/>
      <c r="AM287" s="49"/>
      <c r="AN287" s="49"/>
      <c r="AO287" s="49" t="s">
        <v>9</v>
      </c>
      <c r="AP287" s="49"/>
      <c r="AQ287" s="49"/>
      <c r="AR287" s="49" t="s">
        <v>9</v>
      </c>
      <c r="AS287" s="49"/>
      <c r="AT287" s="49"/>
      <c r="AU287" s="49" t="s">
        <v>9</v>
      </c>
      <c r="AV287" s="49"/>
      <c r="AW287" s="49"/>
      <c r="AX287" s="49" t="s">
        <v>9</v>
      </c>
      <c r="AY287" s="49"/>
      <c r="AZ287" s="50" t="s">
        <v>9</v>
      </c>
      <c r="BA287" s="50"/>
      <c r="BB287" s="50"/>
      <c r="BC287" s="50"/>
      <c r="BD287" s="50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13.5" customHeight="1">
      <c r="A288" s="39"/>
      <c r="B288" s="51" t="s">
        <v>9</v>
      </c>
      <c r="C288" s="52" t="s">
        <v>450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3" t="s">
        <v>491</v>
      </c>
      <c r="W288" s="53"/>
      <c r="X288" s="53"/>
      <c r="Y288" s="54" t="s">
        <v>71</v>
      </c>
      <c r="Z288" s="54"/>
      <c r="AA288" s="54"/>
      <c r="AB288" s="54"/>
      <c r="AC288" s="54" t="s">
        <v>71</v>
      </c>
      <c r="AD288" s="54"/>
      <c r="AE288" s="54"/>
      <c r="AF288" s="54" t="s">
        <v>71</v>
      </c>
      <c r="AG288" s="54"/>
      <c r="AH288" s="54"/>
      <c r="AI288" s="54" t="s">
        <v>71</v>
      </c>
      <c r="AJ288" s="54"/>
      <c r="AK288" s="54" t="s">
        <v>71</v>
      </c>
      <c r="AL288" s="54"/>
      <c r="AM288" s="54"/>
      <c r="AN288" s="54"/>
      <c r="AO288" s="54" t="s">
        <v>71</v>
      </c>
      <c r="AP288" s="54"/>
      <c r="AQ288" s="54"/>
      <c r="AR288" s="54" t="s">
        <v>71</v>
      </c>
      <c r="AS288" s="54"/>
      <c r="AT288" s="54"/>
      <c r="AU288" s="54" t="s">
        <v>71</v>
      </c>
      <c r="AV288" s="54"/>
      <c r="AW288" s="54"/>
      <c r="AX288" s="54" t="s">
        <v>71</v>
      </c>
      <c r="AY288" s="54"/>
      <c r="AZ288" s="55" t="s">
        <v>71</v>
      </c>
      <c r="BA288" s="55"/>
      <c r="BB288" s="55"/>
      <c r="BC288" s="55"/>
      <c r="BD288" s="55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452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492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56" t="s">
        <v>9</v>
      </c>
      <c r="C290" s="57" t="s">
        <v>454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493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56" t="s">
        <v>9</v>
      </c>
      <c r="C291" s="57" t="s">
        <v>249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494</v>
      </c>
      <c r="W291" s="58"/>
      <c r="X291" s="58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56" t="s">
        <v>9</v>
      </c>
      <c r="C292" s="57" t="s">
        <v>457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495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24" customHeight="1">
      <c r="A293" s="39"/>
      <c r="B293" s="56" t="s">
        <v>9</v>
      </c>
      <c r="C293" s="57" t="s">
        <v>459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496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24" customHeight="1">
      <c r="A294" s="39"/>
      <c r="B294" s="56" t="s">
        <v>9</v>
      </c>
      <c r="C294" s="57" t="s">
        <v>461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497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56" t="s">
        <v>9</v>
      </c>
      <c r="C295" s="57" t="s">
        <v>463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498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24" customHeight="1">
      <c r="A296" s="39"/>
      <c r="B296" s="56" t="s">
        <v>9</v>
      </c>
      <c r="C296" s="57" t="s">
        <v>465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499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24" customHeight="1">
      <c r="A297" s="39"/>
      <c r="B297" s="44" t="s">
        <v>500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5" t="s">
        <v>501</v>
      </c>
      <c r="W297" s="45"/>
      <c r="X297" s="45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13.5" customHeight="1">
      <c r="A298" s="39"/>
      <c r="B298" s="47" t="s">
        <v>449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8" t="s">
        <v>9</v>
      </c>
      <c r="W298" s="48"/>
      <c r="X298" s="48"/>
      <c r="Y298" s="49" t="s">
        <v>9</v>
      </c>
      <c r="Z298" s="49"/>
      <c r="AA298" s="49"/>
      <c r="AB298" s="49"/>
      <c r="AC298" s="49" t="s">
        <v>9</v>
      </c>
      <c r="AD298" s="49"/>
      <c r="AE298" s="49"/>
      <c r="AF298" s="49" t="s">
        <v>9</v>
      </c>
      <c r="AG298" s="49"/>
      <c r="AH298" s="49"/>
      <c r="AI298" s="49" t="s">
        <v>9</v>
      </c>
      <c r="AJ298" s="49"/>
      <c r="AK298" s="49" t="s">
        <v>9</v>
      </c>
      <c r="AL298" s="49"/>
      <c r="AM298" s="49"/>
      <c r="AN298" s="49"/>
      <c r="AO298" s="49" t="s">
        <v>9</v>
      </c>
      <c r="AP298" s="49"/>
      <c r="AQ298" s="49"/>
      <c r="AR298" s="49" t="s">
        <v>9</v>
      </c>
      <c r="AS298" s="49"/>
      <c r="AT298" s="49"/>
      <c r="AU298" s="49" t="s">
        <v>9</v>
      </c>
      <c r="AV298" s="49"/>
      <c r="AW298" s="49"/>
      <c r="AX298" s="49" t="s">
        <v>9</v>
      </c>
      <c r="AY298" s="49"/>
      <c r="AZ298" s="50" t="s">
        <v>9</v>
      </c>
      <c r="BA298" s="50"/>
      <c r="BB298" s="50"/>
      <c r="BC298" s="50"/>
      <c r="BD298" s="50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51" t="s">
        <v>9</v>
      </c>
      <c r="C299" s="52" t="s">
        <v>450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3" t="s">
        <v>502</v>
      </c>
      <c r="W299" s="53"/>
      <c r="X299" s="53"/>
      <c r="Y299" s="54" t="s">
        <v>71</v>
      </c>
      <c r="Z299" s="54"/>
      <c r="AA299" s="54"/>
      <c r="AB299" s="54"/>
      <c r="AC299" s="54" t="s">
        <v>71</v>
      </c>
      <c r="AD299" s="54"/>
      <c r="AE299" s="54"/>
      <c r="AF299" s="54" t="s">
        <v>71</v>
      </c>
      <c r="AG299" s="54"/>
      <c r="AH299" s="54"/>
      <c r="AI299" s="54" t="s">
        <v>71</v>
      </c>
      <c r="AJ299" s="54"/>
      <c r="AK299" s="54" t="s">
        <v>71</v>
      </c>
      <c r="AL299" s="54"/>
      <c r="AM299" s="54"/>
      <c r="AN299" s="54"/>
      <c r="AO299" s="54" t="s">
        <v>71</v>
      </c>
      <c r="AP299" s="54"/>
      <c r="AQ299" s="54"/>
      <c r="AR299" s="54" t="s">
        <v>71</v>
      </c>
      <c r="AS299" s="54"/>
      <c r="AT299" s="54"/>
      <c r="AU299" s="54" t="s">
        <v>71</v>
      </c>
      <c r="AV299" s="54"/>
      <c r="AW299" s="54"/>
      <c r="AX299" s="54" t="s">
        <v>71</v>
      </c>
      <c r="AY299" s="54"/>
      <c r="AZ299" s="55" t="s">
        <v>71</v>
      </c>
      <c r="BA299" s="55"/>
      <c r="BB299" s="55"/>
      <c r="BC299" s="55"/>
      <c r="BD299" s="55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452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503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56" t="s">
        <v>9</v>
      </c>
      <c r="C301" s="57" t="s">
        <v>454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504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56" t="s">
        <v>9</v>
      </c>
      <c r="C302" s="57" t="s">
        <v>249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505</v>
      </c>
      <c r="W302" s="58"/>
      <c r="X302" s="58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56" t="s">
        <v>9</v>
      </c>
      <c r="C303" s="57" t="s">
        <v>457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506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24" customHeight="1">
      <c r="A304" s="39"/>
      <c r="B304" s="56" t="s">
        <v>9</v>
      </c>
      <c r="C304" s="57" t="s">
        <v>459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507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24" customHeight="1">
      <c r="A305" s="39"/>
      <c r="B305" s="56" t="s">
        <v>9</v>
      </c>
      <c r="C305" s="57" t="s">
        <v>461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508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56" t="s">
        <v>9</v>
      </c>
      <c r="C306" s="57" t="s">
        <v>463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509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24" customHeight="1">
      <c r="A307" s="39"/>
      <c r="B307" s="56" t="s">
        <v>9</v>
      </c>
      <c r="C307" s="57" t="s">
        <v>465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510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44" t="s">
        <v>511</v>
      </c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5" t="s">
        <v>512</v>
      </c>
      <c r="W308" s="45"/>
      <c r="X308" s="45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13.5" customHeight="1">
      <c r="A309" s="39"/>
      <c r="B309" s="47" t="s">
        <v>449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8" t="s">
        <v>9</v>
      </c>
      <c r="W309" s="48"/>
      <c r="X309" s="48"/>
      <c r="Y309" s="49" t="s">
        <v>9</v>
      </c>
      <c r="Z309" s="49"/>
      <c r="AA309" s="49"/>
      <c r="AB309" s="49"/>
      <c r="AC309" s="49" t="s">
        <v>9</v>
      </c>
      <c r="AD309" s="49"/>
      <c r="AE309" s="49"/>
      <c r="AF309" s="49" t="s">
        <v>9</v>
      </c>
      <c r="AG309" s="49"/>
      <c r="AH309" s="49"/>
      <c r="AI309" s="49" t="s">
        <v>9</v>
      </c>
      <c r="AJ309" s="49"/>
      <c r="AK309" s="49" t="s">
        <v>9</v>
      </c>
      <c r="AL309" s="49"/>
      <c r="AM309" s="49"/>
      <c r="AN309" s="49"/>
      <c r="AO309" s="49" t="s">
        <v>9</v>
      </c>
      <c r="AP309" s="49"/>
      <c r="AQ309" s="49"/>
      <c r="AR309" s="49" t="s">
        <v>9</v>
      </c>
      <c r="AS309" s="49"/>
      <c r="AT309" s="49"/>
      <c r="AU309" s="49" t="s">
        <v>9</v>
      </c>
      <c r="AV309" s="49"/>
      <c r="AW309" s="49"/>
      <c r="AX309" s="49" t="s">
        <v>9</v>
      </c>
      <c r="AY309" s="49"/>
      <c r="AZ309" s="50" t="s">
        <v>9</v>
      </c>
      <c r="BA309" s="50"/>
      <c r="BB309" s="50"/>
      <c r="BC309" s="50"/>
      <c r="BD309" s="50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51" t="s">
        <v>9</v>
      </c>
      <c r="C310" s="52" t="s">
        <v>450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3" t="s">
        <v>513</v>
      </c>
      <c r="W310" s="53"/>
      <c r="X310" s="53"/>
      <c r="Y310" s="54" t="s">
        <v>71</v>
      </c>
      <c r="Z310" s="54"/>
      <c r="AA310" s="54"/>
      <c r="AB310" s="54"/>
      <c r="AC310" s="54" t="s">
        <v>71</v>
      </c>
      <c r="AD310" s="54"/>
      <c r="AE310" s="54"/>
      <c r="AF310" s="54" t="s">
        <v>71</v>
      </c>
      <c r="AG310" s="54"/>
      <c r="AH310" s="54"/>
      <c r="AI310" s="54" t="s">
        <v>71</v>
      </c>
      <c r="AJ310" s="54"/>
      <c r="AK310" s="54" t="s">
        <v>71</v>
      </c>
      <c r="AL310" s="54"/>
      <c r="AM310" s="54"/>
      <c r="AN310" s="54"/>
      <c r="AO310" s="54" t="s">
        <v>71</v>
      </c>
      <c r="AP310" s="54"/>
      <c r="AQ310" s="54"/>
      <c r="AR310" s="54" t="s">
        <v>71</v>
      </c>
      <c r="AS310" s="54"/>
      <c r="AT310" s="54"/>
      <c r="AU310" s="54" t="s">
        <v>71</v>
      </c>
      <c r="AV310" s="54"/>
      <c r="AW310" s="54"/>
      <c r="AX310" s="54" t="s">
        <v>71</v>
      </c>
      <c r="AY310" s="54"/>
      <c r="AZ310" s="55" t="s">
        <v>71</v>
      </c>
      <c r="BA310" s="55"/>
      <c r="BB310" s="55"/>
      <c r="BC310" s="55"/>
      <c r="BD310" s="55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452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514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56" t="s">
        <v>9</v>
      </c>
      <c r="C312" s="57" t="s">
        <v>454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515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56" t="s">
        <v>9</v>
      </c>
      <c r="C313" s="57" t="s">
        <v>249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516</v>
      </c>
      <c r="W313" s="58"/>
      <c r="X313" s="58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5" t="s">
        <v>71</v>
      </c>
      <c r="AP313" s="25"/>
      <c r="AQ313" s="25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46" t="s">
        <v>71</v>
      </c>
      <c r="BA313" s="46"/>
      <c r="BB313" s="46"/>
      <c r="BC313" s="46"/>
      <c r="BD313" s="4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56" t="s">
        <v>9</v>
      </c>
      <c r="C314" s="57" t="s">
        <v>457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517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24" customHeight="1">
      <c r="A315" s="39"/>
      <c r="B315" s="56" t="s">
        <v>9</v>
      </c>
      <c r="C315" s="57" t="s">
        <v>459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518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24" customHeight="1">
      <c r="A316" s="39"/>
      <c r="B316" s="56" t="s">
        <v>9</v>
      </c>
      <c r="C316" s="57" t="s">
        <v>461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519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56" t="s">
        <v>9</v>
      </c>
      <c r="C317" s="57" t="s">
        <v>463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520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24" customHeight="1">
      <c r="A318" s="39"/>
      <c r="B318" s="56" t="s">
        <v>9</v>
      </c>
      <c r="C318" s="57" t="s">
        <v>465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521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5" t="s">
        <v>71</v>
      </c>
      <c r="AP318" s="25"/>
      <c r="AQ318" s="25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46" t="s">
        <v>71</v>
      </c>
      <c r="BA318" s="46"/>
      <c r="BB318" s="46"/>
      <c r="BC318" s="46"/>
      <c r="BD318" s="4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44" t="s">
        <v>522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5" t="s">
        <v>523</v>
      </c>
      <c r="W319" s="45"/>
      <c r="X319" s="45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13.5" customHeight="1">
      <c r="A320" s="39"/>
      <c r="B320" s="47" t="s">
        <v>449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8" t="s">
        <v>9</v>
      </c>
      <c r="W320" s="48"/>
      <c r="X320" s="48"/>
      <c r="Y320" s="49" t="s">
        <v>9</v>
      </c>
      <c r="Z320" s="49"/>
      <c r="AA320" s="49"/>
      <c r="AB320" s="49"/>
      <c r="AC320" s="49" t="s">
        <v>9</v>
      </c>
      <c r="AD320" s="49"/>
      <c r="AE320" s="49"/>
      <c r="AF320" s="49" t="s">
        <v>9</v>
      </c>
      <c r="AG320" s="49"/>
      <c r="AH320" s="49"/>
      <c r="AI320" s="49" t="s">
        <v>9</v>
      </c>
      <c r="AJ320" s="49"/>
      <c r="AK320" s="49" t="s">
        <v>9</v>
      </c>
      <c r="AL320" s="49"/>
      <c r="AM320" s="49"/>
      <c r="AN320" s="49"/>
      <c r="AO320" s="49" t="s">
        <v>9</v>
      </c>
      <c r="AP320" s="49"/>
      <c r="AQ320" s="49"/>
      <c r="AR320" s="49" t="s">
        <v>9</v>
      </c>
      <c r="AS320" s="49"/>
      <c r="AT320" s="49"/>
      <c r="AU320" s="49" t="s">
        <v>9</v>
      </c>
      <c r="AV320" s="49"/>
      <c r="AW320" s="49"/>
      <c r="AX320" s="49" t="s">
        <v>9</v>
      </c>
      <c r="AY320" s="49"/>
      <c r="AZ320" s="50" t="s">
        <v>9</v>
      </c>
      <c r="BA320" s="50"/>
      <c r="BB320" s="50"/>
      <c r="BC320" s="50"/>
      <c r="BD320" s="50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51" t="s">
        <v>9</v>
      </c>
      <c r="C321" s="52" t="s">
        <v>450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3" t="s">
        <v>524</v>
      </c>
      <c r="W321" s="53"/>
      <c r="X321" s="53"/>
      <c r="Y321" s="54" t="s">
        <v>71</v>
      </c>
      <c r="Z321" s="54"/>
      <c r="AA321" s="54"/>
      <c r="AB321" s="54"/>
      <c r="AC321" s="54" t="s">
        <v>71</v>
      </c>
      <c r="AD321" s="54"/>
      <c r="AE321" s="54"/>
      <c r="AF321" s="54" t="s">
        <v>71</v>
      </c>
      <c r="AG321" s="54"/>
      <c r="AH321" s="54"/>
      <c r="AI321" s="54" t="s">
        <v>71</v>
      </c>
      <c r="AJ321" s="54"/>
      <c r="AK321" s="54" t="s">
        <v>71</v>
      </c>
      <c r="AL321" s="54"/>
      <c r="AM321" s="54"/>
      <c r="AN321" s="54"/>
      <c r="AO321" s="54" t="s">
        <v>71</v>
      </c>
      <c r="AP321" s="54"/>
      <c r="AQ321" s="54"/>
      <c r="AR321" s="54" t="s">
        <v>71</v>
      </c>
      <c r="AS321" s="54"/>
      <c r="AT321" s="54"/>
      <c r="AU321" s="54" t="s">
        <v>71</v>
      </c>
      <c r="AV321" s="54"/>
      <c r="AW321" s="54"/>
      <c r="AX321" s="54" t="s">
        <v>71</v>
      </c>
      <c r="AY321" s="54"/>
      <c r="AZ321" s="55" t="s">
        <v>71</v>
      </c>
      <c r="BA321" s="55"/>
      <c r="BB321" s="55"/>
      <c r="BC321" s="55"/>
      <c r="BD321" s="55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452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525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5" t="s">
        <v>71</v>
      </c>
      <c r="AP322" s="25"/>
      <c r="AQ322" s="25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46" t="s">
        <v>71</v>
      </c>
      <c r="BA322" s="46"/>
      <c r="BB322" s="46"/>
      <c r="BC322" s="46"/>
      <c r="BD322" s="4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56" t="s">
        <v>9</v>
      </c>
      <c r="C323" s="57" t="s">
        <v>454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526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56" t="s">
        <v>9</v>
      </c>
      <c r="C324" s="57" t="s">
        <v>249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527</v>
      </c>
      <c r="W324" s="58"/>
      <c r="X324" s="58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56" t="s">
        <v>9</v>
      </c>
      <c r="C325" s="57" t="s">
        <v>457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528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24" customHeight="1">
      <c r="A326" s="39"/>
      <c r="B326" s="56" t="s">
        <v>9</v>
      </c>
      <c r="C326" s="57" t="s">
        <v>459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529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24" customHeight="1">
      <c r="A327" s="39"/>
      <c r="B327" s="56" t="s">
        <v>9</v>
      </c>
      <c r="C327" s="57" t="s">
        <v>461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530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56" t="s">
        <v>9</v>
      </c>
      <c r="C328" s="57" t="s">
        <v>463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531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24" customHeight="1">
      <c r="A329" s="39"/>
      <c r="B329" s="56" t="s">
        <v>9</v>
      </c>
      <c r="C329" s="57" t="s">
        <v>465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532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44" t="s">
        <v>533</v>
      </c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5" t="s">
        <v>534</v>
      </c>
      <c r="W330" s="45"/>
      <c r="X330" s="45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4">
        <f>0</f>
        <v>0</v>
      </c>
      <c r="AP330" s="24"/>
      <c r="AQ330" s="24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59">
        <f>0</f>
        <v>0</v>
      </c>
      <c r="BA330" s="59"/>
      <c r="BB330" s="59"/>
      <c r="BC330" s="59"/>
      <c r="BD330" s="5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13.5" customHeight="1">
      <c r="A331" s="39"/>
      <c r="B331" s="47" t="s">
        <v>449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8" t="s">
        <v>9</v>
      </c>
      <c r="W331" s="48"/>
      <c r="X331" s="48"/>
      <c r="Y331" s="49" t="s">
        <v>9</v>
      </c>
      <c r="Z331" s="49"/>
      <c r="AA331" s="49"/>
      <c r="AB331" s="49"/>
      <c r="AC331" s="49" t="s">
        <v>9</v>
      </c>
      <c r="AD331" s="49"/>
      <c r="AE331" s="49"/>
      <c r="AF331" s="49" t="s">
        <v>9</v>
      </c>
      <c r="AG331" s="49"/>
      <c r="AH331" s="49"/>
      <c r="AI331" s="49" t="s">
        <v>9</v>
      </c>
      <c r="AJ331" s="49"/>
      <c r="AK331" s="49" t="s">
        <v>9</v>
      </c>
      <c r="AL331" s="49"/>
      <c r="AM331" s="49"/>
      <c r="AN331" s="49"/>
      <c r="AO331" s="49" t="s">
        <v>9</v>
      </c>
      <c r="AP331" s="49"/>
      <c r="AQ331" s="49"/>
      <c r="AR331" s="49" t="s">
        <v>9</v>
      </c>
      <c r="AS331" s="49"/>
      <c r="AT331" s="49"/>
      <c r="AU331" s="49" t="s">
        <v>9</v>
      </c>
      <c r="AV331" s="49"/>
      <c r="AW331" s="49"/>
      <c r="AX331" s="49" t="s">
        <v>9</v>
      </c>
      <c r="AY331" s="49"/>
      <c r="AZ331" s="50" t="s">
        <v>9</v>
      </c>
      <c r="BA331" s="50"/>
      <c r="BB331" s="50"/>
      <c r="BC331" s="50"/>
      <c r="BD331" s="50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39"/>
      <c r="B332" s="51" t="s">
        <v>9</v>
      </c>
      <c r="C332" s="52" t="s">
        <v>450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3" t="s">
        <v>535</v>
      </c>
      <c r="W332" s="53"/>
      <c r="X332" s="53"/>
      <c r="Y332" s="54" t="s">
        <v>71</v>
      </c>
      <c r="Z332" s="54"/>
      <c r="AA332" s="54"/>
      <c r="AB332" s="54"/>
      <c r="AC332" s="54" t="s">
        <v>71</v>
      </c>
      <c r="AD332" s="54"/>
      <c r="AE332" s="54"/>
      <c r="AF332" s="54" t="s">
        <v>71</v>
      </c>
      <c r="AG332" s="54"/>
      <c r="AH332" s="54"/>
      <c r="AI332" s="54" t="s">
        <v>71</v>
      </c>
      <c r="AJ332" s="54"/>
      <c r="AK332" s="54" t="s">
        <v>71</v>
      </c>
      <c r="AL332" s="54"/>
      <c r="AM332" s="54"/>
      <c r="AN332" s="54"/>
      <c r="AO332" s="54" t="s">
        <v>71</v>
      </c>
      <c r="AP332" s="54"/>
      <c r="AQ332" s="54"/>
      <c r="AR332" s="54" t="s">
        <v>71</v>
      </c>
      <c r="AS332" s="54"/>
      <c r="AT332" s="54"/>
      <c r="AU332" s="54" t="s">
        <v>71</v>
      </c>
      <c r="AV332" s="54"/>
      <c r="AW332" s="54"/>
      <c r="AX332" s="54" t="s">
        <v>71</v>
      </c>
      <c r="AY332" s="54"/>
      <c r="AZ332" s="55" t="s">
        <v>71</v>
      </c>
      <c r="BA332" s="55"/>
      <c r="BB332" s="55"/>
      <c r="BC332" s="55"/>
      <c r="BD332" s="55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452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536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39"/>
      <c r="B334" s="56" t="s">
        <v>9</v>
      </c>
      <c r="C334" s="57" t="s">
        <v>454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537</v>
      </c>
      <c r="W334" s="58"/>
      <c r="X334" s="58"/>
      <c r="Y334" s="25" t="s">
        <v>71</v>
      </c>
      <c r="Z334" s="25"/>
      <c r="AA334" s="25"/>
      <c r="AB334" s="25"/>
      <c r="AC334" s="25" t="s">
        <v>71</v>
      </c>
      <c r="AD334" s="25"/>
      <c r="AE334" s="25"/>
      <c r="AF334" s="25" t="s">
        <v>71</v>
      </c>
      <c r="AG334" s="25"/>
      <c r="AH334" s="25"/>
      <c r="AI334" s="25" t="s">
        <v>71</v>
      </c>
      <c r="AJ334" s="25"/>
      <c r="AK334" s="25" t="s">
        <v>71</v>
      </c>
      <c r="AL334" s="25"/>
      <c r="AM334" s="25"/>
      <c r="AN334" s="25"/>
      <c r="AO334" s="25" t="s">
        <v>71</v>
      </c>
      <c r="AP334" s="25"/>
      <c r="AQ334" s="25"/>
      <c r="AR334" s="25" t="s">
        <v>71</v>
      </c>
      <c r="AS334" s="25"/>
      <c r="AT334" s="25"/>
      <c r="AU334" s="25" t="s">
        <v>71</v>
      </c>
      <c r="AV334" s="25"/>
      <c r="AW334" s="25"/>
      <c r="AX334" s="25" t="s">
        <v>71</v>
      </c>
      <c r="AY334" s="25"/>
      <c r="AZ334" s="46" t="s">
        <v>71</v>
      </c>
      <c r="BA334" s="46"/>
      <c r="BB334" s="46"/>
      <c r="BC334" s="46"/>
      <c r="BD334" s="4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39"/>
      <c r="B335" s="56" t="s">
        <v>9</v>
      </c>
      <c r="C335" s="57" t="s">
        <v>249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538</v>
      </c>
      <c r="W335" s="58"/>
      <c r="X335" s="58"/>
      <c r="Y335" s="25" t="s">
        <v>71</v>
      </c>
      <c r="Z335" s="25"/>
      <c r="AA335" s="25"/>
      <c r="AB335" s="25"/>
      <c r="AC335" s="25" t="s">
        <v>71</v>
      </c>
      <c r="AD335" s="25"/>
      <c r="AE335" s="25"/>
      <c r="AF335" s="25" t="s">
        <v>71</v>
      </c>
      <c r="AG335" s="25"/>
      <c r="AH335" s="25"/>
      <c r="AI335" s="25" t="s">
        <v>71</v>
      </c>
      <c r="AJ335" s="25"/>
      <c r="AK335" s="25" t="s">
        <v>71</v>
      </c>
      <c r="AL335" s="25"/>
      <c r="AM335" s="25"/>
      <c r="AN335" s="25"/>
      <c r="AO335" s="24">
        <f>0</f>
        <v>0</v>
      </c>
      <c r="AP335" s="24"/>
      <c r="AQ335" s="24"/>
      <c r="AR335" s="25" t="s">
        <v>71</v>
      </c>
      <c r="AS335" s="25"/>
      <c r="AT335" s="25"/>
      <c r="AU335" s="25" t="s">
        <v>71</v>
      </c>
      <c r="AV335" s="25"/>
      <c r="AW335" s="25"/>
      <c r="AX335" s="25" t="s">
        <v>71</v>
      </c>
      <c r="AY335" s="25"/>
      <c r="AZ335" s="59">
        <f>0</f>
        <v>0</v>
      </c>
      <c r="BA335" s="59"/>
      <c r="BB335" s="59"/>
      <c r="BC335" s="59"/>
      <c r="BD335" s="5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39"/>
      <c r="B336" s="56" t="s">
        <v>9</v>
      </c>
      <c r="C336" s="57" t="s">
        <v>457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539</v>
      </c>
      <c r="W336" s="58"/>
      <c r="X336" s="58"/>
      <c r="Y336" s="25" t="s">
        <v>71</v>
      </c>
      <c r="Z336" s="25"/>
      <c r="AA336" s="25"/>
      <c r="AB336" s="25"/>
      <c r="AC336" s="25" t="s">
        <v>71</v>
      </c>
      <c r="AD336" s="25"/>
      <c r="AE336" s="25"/>
      <c r="AF336" s="25" t="s">
        <v>71</v>
      </c>
      <c r="AG336" s="25"/>
      <c r="AH336" s="25"/>
      <c r="AI336" s="25" t="s">
        <v>71</v>
      </c>
      <c r="AJ336" s="25"/>
      <c r="AK336" s="25" t="s">
        <v>71</v>
      </c>
      <c r="AL336" s="25"/>
      <c r="AM336" s="25"/>
      <c r="AN336" s="25"/>
      <c r="AO336" s="25" t="s">
        <v>71</v>
      </c>
      <c r="AP336" s="25"/>
      <c r="AQ336" s="25"/>
      <c r="AR336" s="25" t="s">
        <v>71</v>
      </c>
      <c r="AS336" s="25"/>
      <c r="AT336" s="25"/>
      <c r="AU336" s="25" t="s">
        <v>71</v>
      </c>
      <c r="AV336" s="25"/>
      <c r="AW336" s="25"/>
      <c r="AX336" s="25" t="s">
        <v>71</v>
      </c>
      <c r="AY336" s="25"/>
      <c r="AZ336" s="46" t="s">
        <v>71</v>
      </c>
      <c r="BA336" s="46"/>
      <c r="BB336" s="46"/>
      <c r="BC336" s="46"/>
      <c r="BD336" s="4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24" customHeight="1">
      <c r="A337" s="39"/>
      <c r="B337" s="56" t="s">
        <v>9</v>
      </c>
      <c r="C337" s="57" t="s">
        <v>459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540</v>
      </c>
      <c r="W337" s="58"/>
      <c r="X337" s="58"/>
      <c r="Y337" s="25" t="s">
        <v>71</v>
      </c>
      <c r="Z337" s="25"/>
      <c r="AA337" s="25"/>
      <c r="AB337" s="25"/>
      <c r="AC337" s="25" t="s">
        <v>71</v>
      </c>
      <c r="AD337" s="25"/>
      <c r="AE337" s="25"/>
      <c r="AF337" s="25" t="s">
        <v>71</v>
      </c>
      <c r="AG337" s="25"/>
      <c r="AH337" s="25"/>
      <c r="AI337" s="25" t="s">
        <v>71</v>
      </c>
      <c r="AJ337" s="25"/>
      <c r="AK337" s="25" t="s">
        <v>71</v>
      </c>
      <c r="AL337" s="25"/>
      <c r="AM337" s="25"/>
      <c r="AN337" s="25"/>
      <c r="AO337" s="25" t="s">
        <v>71</v>
      </c>
      <c r="AP337" s="25"/>
      <c r="AQ337" s="25"/>
      <c r="AR337" s="25" t="s">
        <v>71</v>
      </c>
      <c r="AS337" s="25"/>
      <c r="AT337" s="25"/>
      <c r="AU337" s="25" t="s">
        <v>71</v>
      </c>
      <c r="AV337" s="25"/>
      <c r="AW337" s="25"/>
      <c r="AX337" s="25" t="s">
        <v>71</v>
      </c>
      <c r="AY337" s="25"/>
      <c r="AZ337" s="46" t="s">
        <v>71</v>
      </c>
      <c r="BA337" s="46"/>
      <c r="BB337" s="46"/>
      <c r="BC337" s="46"/>
      <c r="BD337" s="4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24" customHeight="1">
      <c r="A338" s="39"/>
      <c r="B338" s="56" t="s">
        <v>9</v>
      </c>
      <c r="C338" s="57" t="s">
        <v>461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541</v>
      </c>
      <c r="W338" s="58"/>
      <c r="X338" s="58"/>
      <c r="Y338" s="25" t="s">
        <v>71</v>
      </c>
      <c r="Z338" s="25"/>
      <c r="AA338" s="25"/>
      <c r="AB338" s="25"/>
      <c r="AC338" s="25" t="s">
        <v>71</v>
      </c>
      <c r="AD338" s="25"/>
      <c r="AE338" s="25"/>
      <c r="AF338" s="25" t="s">
        <v>71</v>
      </c>
      <c r="AG338" s="25"/>
      <c r="AH338" s="25"/>
      <c r="AI338" s="25" t="s">
        <v>71</v>
      </c>
      <c r="AJ338" s="25"/>
      <c r="AK338" s="25" t="s">
        <v>71</v>
      </c>
      <c r="AL338" s="25"/>
      <c r="AM338" s="25"/>
      <c r="AN338" s="25"/>
      <c r="AO338" s="25" t="s">
        <v>71</v>
      </c>
      <c r="AP338" s="25"/>
      <c r="AQ338" s="25"/>
      <c r="AR338" s="25" t="s">
        <v>71</v>
      </c>
      <c r="AS338" s="25"/>
      <c r="AT338" s="25"/>
      <c r="AU338" s="25" t="s">
        <v>71</v>
      </c>
      <c r="AV338" s="25"/>
      <c r="AW338" s="25"/>
      <c r="AX338" s="25" t="s">
        <v>71</v>
      </c>
      <c r="AY338" s="25"/>
      <c r="AZ338" s="46" t="s">
        <v>71</v>
      </c>
      <c r="BA338" s="46"/>
      <c r="BB338" s="46"/>
      <c r="BC338" s="46"/>
      <c r="BD338" s="4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13.5" customHeight="1">
      <c r="A339" s="39"/>
      <c r="B339" s="56" t="s">
        <v>9</v>
      </c>
      <c r="C339" s="57" t="s">
        <v>463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542</v>
      </c>
      <c r="W339" s="58"/>
      <c r="X339" s="58"/>
      <c r="Y339" s="25" t="s">
        <v>71</v>
      </c>
      <c r="Z339" s="25"/>
      <c r="AA339" s="25"/>
      <c r="AB339" s="25"/>
      <c r="AC339" s="25" t="s">
        <v>71</v>
      </c>
      <c r="AD339" s="25"/>
      <c r="AE339" s="25"/>
      <c r="AF339" s="25" t="s">
        <v>71</v>
      </c>
      <c r="AG339" s="25"/>
      <c r="AH339" s="25"/>
      <c r="AI339" s="25" t="s">
        <v>71</v>
      </c>
      <c r="AJ339" s="25"/>
      <c r="AK339" s="25" t="s">
        <v>71</v>
      </c>
      <c r="AL339" s="25"/>
      <c r="AM339" s="25"/>
      <c r="AN339" s="25"/>
      <c r="AO339" s="25" t="s">
        <v>71</v>
      </c>
      <c r="AP339" s="25"/>
      <c r="AQ339" s="25"/>
      <c r="AR339" s="25" t="s">
        <v>71</v>
      </c>
      <c r="AS339" s="25"/>
      <c r="AT339" s="25"/>
      <c r="AU339" s="25" t="s">
        <v>71</v>
      </c>
      <c r="AV339" s="25"/>
      <c r="AW339" s="25"/>
      <c r="AX339" s="25" t="s">
        <v>71</v>
      </c>
      <c r="AY339" s="25"/>
      <c r="AZ339" s="46" t="s">
        <v>71</v>
      </c>
      <c r="BA339" s="46"/>
      <c r="BB339" s="46"/>
      <c r="BC339" s="46"/>
      <c r="BD339" s="4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24" customHeight="1">
      <c r="A340" s="39"/>
      <c r="B340" s="56" t="s">
        <v>9</v>
      </c>
      <c r="C340" s="57" t="s">
        <v>465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543</v>
      </c>
      <c r="W340" s="58"/>
      <c r="X340" s="58"/>
      <c r="Y340" s="25" t="s">
        <v>71</v>
      </c>
      <c r="Z340" s="25"/>
      <c r="AA340" s="25"/>
      <c r="AB340" s="25"/>
      <c r="AC340" s="25" t="s">
        <v>71</v>
      </c>
      <c r="AD340" s="25"/>
      <c r="AE340" s="25"/>
      <c r="AF340" s="25" t="s">
        <v>71</v>
      </c>
      <c r="AG340" s="25"/>
      <c r="AH340" s="25"/>
      <c r="AI340" s="25" t="s">
        <v>71</v>
      </c>
      <c r="AJ340" s="25"/>
      <c r="AK340" s="25" t="s">
        <v>71</v>
      </c>
      <c r="AL340" s="25"/>
      <c r="AM340" s="25"/>
      <c r="AN340" s="25"/>
      <c r="AO340" s="25" t="s">
        <v>71</v>
      </c>
      <c r="AP340" s="25"/>
      <c r="AQ340" s="25"/>
      <c r="AR340" s="25" t="s">
        <v>71</v>
      </c>
      <c r="AS340" s="25"/>
      <c r="AT340" s="25"/>
      <c r="AU340" s="25" t="s">
        <v>71</v>
      </c>
      <c r="AV340" s="25"/>
      <c r="AW340" s="25"/>
      <c r="AX340" s="25" t="s">
        <v>71</v>
      </c>
      <c r="AY340" s="25"/>
      <c r="AZ340" s="46" t="s">
        <v>71</v>
      </c>
      <c r="BA340" s="46"/>
      <c r="BB340" s="46"/>
      <c r="BC340" s="46"/>
      <c r="BD340" s="4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39"/>
      <c r="B341" s="44" t="s">
        <v>544</v>
      </c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5" t="s">
        <v>545</v>
      </c>
      <c r="W341" s="45"/>
      <c r="X341" s="45"/>
      <c r="Y341" s="25" t="s">
        <v>71</v>
      </c>
      <c r="Z341" s="25"/>
      <c r="AA341" s="25"/>
      <c r="AB341" s="25"/>
      <c r="AC341" s="25" t="s">
        <v>71</v>
      </c>
      <c r="AD341" s="25"/>
      <c r="AE341" s="25"/>
      <c r="AF341" s="25" t="s">
        <v>71</v>
      </c>
      <c r="AG341" s="25"/>
      <c r="AH341" s="25"/>
      <c r="AI341" s="25" t="s">
        <v>71</v>
      </c>
      <c r="AJ341" s="25"/>
      <c r="AK341" s="25" t="s">
        <v>71</v>
      </c>
      <c r="AL341" s="25"/>
      <c r="AM341" s="25"/>
      <c r="AN341" s="25"/>
      <c r="AO341" s="25" t="s">
        <v>71</v>
      </c>
      <c r="AP341" s="25"/>
      <c r="AQ341" s="25"/>
      <c r="AR341" s="25" t="s">
        <v>71</v>
      </c>
      <c r="AS341" s="25"/>
      <c r="AT341" s="25"/>
      <c r="AU341" s="25" t="s">
        <v>71</v>
      </c>
      <c r="AV341" s="25"/>
      <c r="AW341" s="25"/>
      <c r="AX341" s="25" t="s">
        <v>71</v>
      </c>
      <c r="AY341" s="25"/>
      <c r="AZ341" s="46" t="s">
        <v>71</v>
      </c>
      <c r="BA341" s="46"/>
      <c r="BB341" s="46"/>
      <c r="BC341" s="46"/>
      <c r="BD341" s="4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13.5" customHeight="1">
      <c r="A342" s="39"/>
      <c r="B342" s="47" t="s">
        <v>449</v>
      </c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8" t="s">
        <v>9</v>
      </c>
      <c r="W342" s="48"/>
      <c r="X342" s="48"/>
      <c r="Y342" s="49" t="s">
        <v>9</v>
      </c>
      <c r="Z342" s="49"/>
      <c r="AA342" s="49"/>
      <c r="AB342" s="49"/>
      <c r="AC342" s="49" t="s">
        <v>9</v>
      </c>
      <c r="AD342" s="49"/>
      <c r="AE342" s="49"/>
      <c r="AF342" s="49" t="s">
        <v>9</v>
      </c>
      <c r="AG342" s="49"/>
      <c r="AH342" s="49"/>
      <c r="AI342" s="49" t="s">
        <v>9</v>
      </c>
      <c r="AJ342" s="49"/>
      <c r="AK342" s="49" t="s">
        <v>9</v>
      </c>
      <c r="AL342" s="49"/>
      <c r="AM342" s="49"/>
      <c r="AN342" s="49"/>
      <c r="AO342" s="49" t="s">
        <v>9</v>
      </c>
      <c r="AP342" s="49"/>
      <c r="AQ342" s="49"/>
      <c r="AR342" s="49" t="s">
        <v>9</v>
      </c>
      <c r="AS342" s="49"/>
      <c r="AT342" s="49"/>
      <c r="AU342" s="49" t="s">
        <v>9</v>
      </c>
      <c r="AV342" s="49"/>
      <c r="AW342" s="49"/>
      <c r="AX342" s="49" t="s">
        <v>9</v>
      </c>
      <c r="AY342" s="49"/>
      <c r="AZ342" s="50" t="s">
        <v>9</v>
      </c>
      <c r="BA342" s="50"/>
      <c r="BB342" s="50"/>
      <c r="BC342" s="50"/>
      <c r="BD342" s="50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39"/>
      <c r="B343" s="51" t="s">
        <v>9</v>
      </c>
      <c r="C343" s="52" t="s">
        <v>450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3" t="s">
        <v>546</v>
      </c>
      <c r="W343" s="53"/>
      <c r="X343" s="53"/>
      <c r="Y343" s="54" t="s">
        <v>71</v>
      </c>
      <c r="Z343" s="54"/>
      <c r="AA343" s="54"/>
      <c r="AB343" s="54"/>
      <c r="AC343" s="54" t="s">
        <v>71</v>
      </c>
      <c r="AD343" s="54"/>
      <c r="AE343" s="54"/>
      <c r="AF343" s="54" t="s">
        <v>71</v>
      </c>
      <c r="AG343" s="54"/>
      <c r="AH343" s="54"/>
      <c r="AI343" s="54" t="s">
        <v>71</v>
      </c>
      <c r="AJ343" s="54"/>
      <c r="AK343" s="54" t="s">
        <v>71</v>
      </c>
      <c r="AL343" s="54"/>
      <c r="AM343" s="54"/>
      <c r="AN343" s="54"/>
      <c r="AO343" s="54" t="s">
        <v>71</v>
      </c>
      <c r="AP343" s="54"/>
      <c r="AQ343" s="54"/>
      <c r="AR343" s="54" t="s">
        <v>71</v>
      </c>
      <c r="AS343" s="54"/>
      <c r="AT343" s="54"/>
      <c r="AU343" s="54" t="s">
        <v>71</v>
      </c>
      <c r="AV343" s="54"/>
      <c r="AW343" s="54"/>
      <c r="AX343" s="54" t="s">
        <v>71</v>
      </c>
      <c r="AY343" s="54"/>
      <c r="AZ343" s="55" t="s">
        <v>71</v>
      </c>
      <c r="BA343" s="55"/>
      <c r="BB343" s="55"/>
      <c r="BC343" s="55"/>
      <c r="BD343" s="55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39"/>
      <c r="B344" s="56" t="s">
        <v>9</v>
      </c>
      <c r="C344" s="57" t="s">
        <v>452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547</v>
      </c>
      <c r="W344" s="58"/>
      <c r="X344" s="58"/>
      <c r="Y344" s="25" t="s">
        <v>71</v>
      </c>
      <c r="Z344" s="25"/>
      <c r="AA344" s="25"/>
      <c r="AB344" s="25"/>
      <c r="AC344" s="25" t="s">
        <v>71</v>
      </c>
      <c r="AD344" s="25"/>
      <c r="AE344" s="25"/>
      <c r="AF344" s="25" t="s">
        <v>71</v>
      </c>
      <c r="AG344" s="25"/>
      <c r="AH344" s="25"/>
      <c r="AI344" s="25" t="s">
        <v>71</v>
      </c>
      <c r="AJ344" s="25"/>
      <c r="AK344" s="25" t="s">
        <v>71</v>
      </c>
      <c r="AL344" s="25"/>
      <c r="AM344" s="25"/>
      <c r="AN344" s="25"/>
      <c r="AO344" s="25" t="s">
        <v>71</v>
      </c>
      <c r="AP344" s="25"/>
      <c r="AQ344" s="25"/>
      <c r="AR344" s="25" t="s">
        <v>71</v>
      </c>
      <c r="AS344" s="25"/>
      <c r="AT344" s="25"/>
      <c r="AU344" s="25" t="s">
        <v>71</v>
      </c>
      <c r="AV344" s="25"/>
      <c r="AW344" s="25"/>
      <c r="AX344" s="25" t="s">
        <v>71</v>
      </c>
      <c r="AY344" s="25"/>
      <c r="AZ344" s="46" t="s">
        <v>71</v>
      </c>
      <c r="BA344" s="46"/>
      <c r="BB344" s="46"/>
      <c r="BC344" s="46"/>
      <c r="BD344" s="4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39"/>
      <c r="B345" s="56" t="s">
        <v>9</v>
      </c>
      <c r="C345" s="57" t="s">
        <v>454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548</v>
      </c>
      <c r="W345" s="58"/>
      <c r="X345" s="58"/>
      <c r="Y345" s="25" t="s">
        <v>71</v>
      </c>
      <c r="Z345" s="25"/>
      <c r="AA345" s="25"/>
      <c r="AB345" s="25"/>
      <c r="AC345" s="25" t="s">
        <v>71</v>
      </c>
      <c r="AD345" s="25"/>
      <c r="AE345" s="25"/>
      <c r="AF345" s="25" t="s">
        <v>71</v>
      </c>
      <c r="AG345" s="25"/>
      <c r="AH345" s="25"/>
      <c r="AI345" s="25" t="s">
        <v>71</v>
      </c>
      <c r="AJ345" s="25"/>
      <c r="AK345" s="25" t="s">
        <v>71</v>
      </c>
      <c r="AL345" s="25"/>
      <c r="AM345" s="25"/>
      <c r="AN345" s="25"/>
      <c r="AO345" s="25" t="s">
        <v>71</v>
      </c>
      <c r="AP345" s="25"/>
      <c r="AQ345" s="25"/>
      <c r="AR345" s="25" t="s">
        <v>71</v>
      </c>
      <c r="AS345" s="25"/>
      <c r="AT345" s="25"/>
      <c r="AU345" s="25" t="s">
        <v>71</v>
      </c>
      <c r="AV345" s="25"/>
      <c r="AW345" s="25"/>
      <c r="AX345" s="25" t="s">
        <v>71</v>
      </c>
      <c r="AY345" s="25"/>
      <c r="AZ345" s="46" t="s">
        <v>71</v>
      </c>
      <c r="BA345" s="46"/>
      <c r="BB345" s="46"/>
      <c r="BC345" s="46"/>
      <c r="BD345" s="4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39"/>
      <c r="B346" s="56" t="s">
        <v>9</v>
      </c>
      <c r="C346" s="57" t="s">
        <v>249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549</v>
      </c>
      <c r="W346" s="58"/>
      <c r="X346" s="58"/>
      <c r="Y346" s="25" t="s">
        <v>71</v>
      </c>
      <c r="Z346" s="25"/>
      <c r="AA346" s="25"/>
      <c r="AB346" s="25"/>
      <c r="AC346" s="25" t="s">
        <v>71</v>
      </c>
      <c r="AD346" s="25"/>
      <c r="AE346" s="25"/>
      <c r="AF346" s="25" t="s">
        <v>71</v>
      </c>
      <c r="AG346" s="25"/>
      <c r="AH346" s="25"/>
      <c r="AI346" s="25" t="s">
        <v>71</v>
      </c>
      <c r="AJ346" s="25"/>
      <c r="AK346" s="25" t="s">
        <v>71</v>
      </c>
      <c r="AL346" s="25"/>
      <c r="AM346" s="25"/>
      <c r="AN346" s="25"/>
      <c r="AO346" s="25" t="s">
        <v>71</v>
      </c>
      <c r="AP346" s="25"/>
      <c r="AQ346" s="25"/>
      <c r="AR346" s="25" t="s">
        <v>71</v>
      </c>
      <c r="AS346" s="25"/>
      <c r="AT346" s="25"/>
      <c r="AU346" s="25" t="s">
        <v>71</v>
      </c>
      <c r="AV346" s="25"/>
      <c r="AW346" s="25"/>
      <c r="AX346" s="25" t="s">
        <v>71</v>
      </c>
      <c r="AY346" s="25"/>
      <c r="AZ346" s="46" t="s">
        <v>71</v>
      </c>
      <c r="BA346" s="46"/>
      <c r="BB346" s="46"/>
      <c r="BC346" s="46"/>
      <c r="BD346" s="4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39"/>
      <c r="B347" s="56" t="s">
        <v>9</v>
      </c>
      <c r="C347" s="57" t="s">
        <v>457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550</v>
      </c>
      <c r="W347" s="58"/>
      <c r="X347" s="58"/>
      <c r="Y347" s="25" t="s">
        <v>71</v>
      </c>
      <c r="Z347" s="25"/>
      <c r="AA347" s="25"/>
      <c r="AB347" s="25"/>
      <c r="AC347" s="25" t="s">
        <v>71</v>
      </c>
      <c r="AD347" s="25"/>
      <c r="AE347" s="25"/>
      <c r="AF347" s="25" t="s">
        <v>71</v>
      </c>
      <c r="AG347" s="25"/>
      <c r="AH347" s="25"/>
      <c r="AI347" s="25" t="s">
        <v>71</v>
      </c>
      <c r="AJ347" s="25"/>
      <c r="AK347" s="25" t="s">
        <v>71</v>
      </c>
      <c r="AL347" s="25"/>
      <c r="AM347" s="25"/>
      <c r="AN347" s="25"/>
      <c r="AO347" s="25" t="s">
        <v>71</v>
      </c>
      <c r="AP347" s="25"/>
      <c r="AQ347" s="25"/>
      <c r="AR347" s="25" t="s">
        <v>71</v>
      </c>
      <c r="AS347" s="25"/>
      <c r="AT347" s="25"/>
      <c r="AU347" s="25" t="s">
        <v>71</v>
      </c>
      <c r="AV347" s="25"/>
      <c r="AW347" s="25"/>
      <c r="AX347" s="25" t="s">
        <v>71</v>
      </c>
      <c r="AY347" s="25"/>
      <c r="AZ347" s="46" t="s">
        <v>71</v>
      </c>
      <c r="BA347" s="46"/>
      <c r="BB347" s="46"/>
      <c r="BC347" s="46"/>
      <c r="BD347" s="4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24" customHeight="1">
      <c r="A348" s="39"/>
      <c r="B348" s="56" t="s">
        <v>9</v>
      </c>
      <c r="C348" s="57" t="s">
        <v>459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551</v>
      </c>
      <c r="W348" s="58"/>
      <c r="X348" s="58"/>
      <c r="Y348" s="25" t="s">
        <v>71</v>
      </c>
      <c r="Z348" s="25"/>
      <c r="AA348" s="25"/>
      <c r="AB348" s="25"/>
      <c r="AC348" s="25" t="s">
        <v>71</v>
      </c>
      <c r="AD348" s="25"/>
      <c r="AE348" s="25"/>
      <c r="AF348" s="25" t="s">
        <v>71</v>
      </c>
      <c r="AG348" s="25"/>
      <c r="AH348" s="25"/>
      <c r="AI348" s="25" t="s">
        <v>71</v>
      </c>
      <c r="AJ348" s="25"/>
      <c r="AK348" s="25" t="s">
        <v>71</v>
      </c>
      <c r="AL348" s="25"/>
      <c r="AM348" s="25"/>
      <c r="AN348" s="25"/>
      <c r="AO348" s="25" t="s">
        <v>71</v>
      </c>
      <c r="AP348" s="25"/>
      <c r="AQ348" s="25"/>
      <c r="AR348" s="25" t="s">
        <v>71</v>
      </c>
      <c r="AS348" s="25"/>
      <c r="AT348" s="25"/>
      <c r="AU348" s="25" t="s">
        <v>71</v>
      </c>
      <c r="AV348" s="25"/>
      <c r="AW348" s="25"/>
      <c r="AX348" s="25" t="s">
        <v>71</v>
      </c>
      <c r="AY348" s="25"/>
      <c r="AZ348" s="46" t="s">
        <v>71</v>
      </c>
      <c r="BA348" s="46"/>
      <c r="BB348" s="46"/>
      <c r="BC348" s="46"/>
      <c r="BD348" s="4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24" customHeight="1">
      <c r="A349" s="39"/>
      <c r="B349" s="56" t="s">
        <v>9</v>
      </c>
      <c r="C349" s="57" t="s">
        <v>461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552</v>
      </c>
      <c r="W349" s="58"/>
      <c r="X349" s="58"/>
      <c r="Y349" s="25" t="s">
        <v>71</v>
      </c>
      <c r="Z349" s="25"/>
      <c r="AA349" s="25"/>
      <c r="AB349" s="25"/>
      <c r="AC349" s="25" t="s">
        <v>71</v>
      </c>
      <c r="AD349" s="25"/>
      <c r="AE349" s="25"/>
      <c r="AF349" s="25" t="s">
        <v>71</v>
      </c>
      <c r="AG349" s="25"/>
      <c r="AH349" s="25"/>
      <c r="AI349" s="25" t="s">
        <v>71</v>
      </c>
      <c r="AJ349" s="25"/>
      <c r="AK349" s="25" t="s">
        <v>71</v>
      </c>
      <c r="AL349" s="25"/>
      <c r="AM349" s="25"/>
      <c r="AN349" s="25"/>
      <c r="AO349" s="25" t="s">
        <v>71</v>
      </c>
      <c r="AP349" s="25"/>
      <c r="AQ349" s="25"/>
      <c r="AR349" s="25" t="s">
        <v>71</v>
      </c>
      <c r="AS349" s="25"/>
      <c r="AT349" s="25"/>
      <c r="AU349" s="25" t="s">
        <v>71</v>
      </c>
      <c r="AV349" s="25"/>
      <c r="AW349" s="25"/>
      <c r="AX349" s="25" t="s">
        <v>71</v>
      </c>
      <c r="AY349" s="25"/>
      <c r="AZ349" s="46" t="s">
        <v>71</v>
      </c>
      <c r="BA349" s="46"/>
      <c r="BB349" s="46"/>
      <c r="BC349" s="46"/>
      <c r="BD349" s="4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39"/>
      <c r="B350" s="56" t="s">
        <v>9</v>
      </c>
      <c r="C350" s="57" t="s">
        <v>463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553</v>
      </c>
      <c r="W350" s="58"/>
      <c r="X350" s="58"/>
      <c r="Y350" s="25" t="s">
        <v>71</v>
      </c>
      <c r="Z350" s="25"/>
      <c r="AA350" s="25"/>
      <c r="AB350" s="25"/>
      <c r="AC350" s="25" t="s">
        <v>71</v>
      </c>
      <c r="AD350" s="25"/>
      <c r="AE350" s="25"/>
      <c r="AF350" s="25" t="s">
        <v>71</v>
      </c>
      <c r="AG350" s="25"/>
      <c r="AH350" s="25"/>
      <c r="AI350" s="25" t="s">
        <v>71</v>
      </c>
      <c r="AJ350" s="25"/>
      <c r="AK350" s="25" t="s">
        <v>71</v>
      </c>
      <c r="AL350" s="25"/>
      <c r="AM350" s="25"/>
      <c r="AN350" s="25"/>
      <c r="AO350" s="25" t="s">
        <v>71</v>
      </c>
      <c r="AP350" s="25"/>
      <c r="AQ350" s="25"/>
      <c r="AR350" s="25" t="s">
        <v>71</v>
      </c>
      <c r="AS350" s="25"/>
      <c r="AT350" s="25"/>
      <c r="AU350" s="25" t="s">
        <v>71</v>
      </c>
      <c r="AV350" s="25"/>
      <c r="AW350" s="25"/>
      <c r="AX350" s="25" t="s">
        <v>71</v>
      </c>
      <c r="AY350" s="25"/>
      <c r="AZ350" s="46" t="s">
        <v>71</v>
      </c>
      <c r="BA350" s="46"/>
      <c r="BB350" s="46"/>
      <c r="BC350" s="46"/>
      <c r="BD350" s="4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24" customHeight="1">
      <c r="A351" s="39"/>
      <c r="B351" s="56" t="s">
        <v>9</v>
      </c>
      <c r="C351" s="57" t="s">
        <v>465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60" t="s">
        <v>554</v>
      </c>
      <c r="W351" s="60"/>
      <c r="X351" s="60"/>
      <c r="Y351" s="61" t="s">
        <v>71</v>
      </c>
      <c r="Z351" s="61"/>
      <c r="AA351" s="61"/>
      <c r="AB351" s="61"/>
      <c r="AC351" s="61" t="s">
        <v>71</v>
      </c>
      <c r="AD351" s="61"/>
      <c r="AE351" s="61"/>
      <c r="AF351" s="61" t="s">
        <v>71</v>
      </c>
      <c r="AG351" s="61"/>
      <c r="AH351" s="61"/>
      <c r="AI351" s="61" t="s">
        <v>71</v>
      </c>
      <c r="AJ351" s="61"/>
      <c r="AK351" s="61" t="s">
        <v>71</v>
      </c>
      <c r="AL351" s="61"/>
      <c r="AM351" s="61"/>
      <c r="AN351" s="61"/>
      <c r="AO351" s="61" t="s">
        <v>71</v>
      </c>
      <c r="AP351" s="61"/>
      <c r="AQ351" s="61"/>
      <c r="AR351" s="61" t="s">
        <v>71</v>
      </c>
      <c r="AS351" s="61"/>
      <c r="AT351" s="61"/>
      <c r="AU351" s="61" t="s">
        <v>71</v>
      </c>
      <c r="AV351" s="61"/>
      <c r="AW351" s="61"/>
      <c r="AX351" s="61" t="s">
        <v>71</v>
      </c>
      <c r="AY351" s="61"/>
      <c r="AZ351" s="62" t="s">
        <v>71</v>
      </c>
      <c r="BA351" s="62"/>
      <c r="BB351" s="62"/>
      <c r="BC351" s="62"/>
      <c r="BD351" s="62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</row>
    <row r="352" spans="1:69" s="1" customFormat="1" ht="13.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</row>
    <row r="353" spans="1:69" s="1" customFormat="1" ht="13.5" customHeight="1">
      <c r="A353" s="29" t="s">
        <v>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</row>
    <row r="354" spans="1:69" s="1" customFormat="1" ht="13.5" customHeight="1">
      <c r="A354" s="8" t="s">
        <v>555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63" t="s">
        <v>9</v>
      </c>
      <c r="O354" s="63"/>
      <c r="P354" s="63"/>
      <c r="Q354" s="63"/>
      <c r="R354" s="63"/>
      <c r="S354" s="63" t="s">
        <v>556</v>
      </c>
      <c r="T354" s="63"/>
      <c r="U354" s="63"/>
      <c r="V354" s="63"/>
      <c r="W354" s="63"/>
      <c r="X354" s="63"/>
      <c r="Y354" s="63"/>
      <c r="Z354" s="63"/>
      <c r="AA354" s="29" t="s">
        <v>9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</row>
    <row r="355" spans="1:69" s="1" customFormat="1" ht="13.5" customHeight="1">
      <c r="A355" s="29" t="s">
        <v>9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64" t="s">
        <v>9</v>
      </c>
      <c r="O355" s="65" t="s">
        <v>557</v>
      </c>
      <c r="P355" s="65"/>
      <c r="Q355" s="65"/>
      <c r="R355" s="64" t="s">
        <v>9</v>
      </c>
      <c r="S355" s="64" t="s">
        <v>9</v>
      </c>
      <c r="T355" s="65" t="s">
        <v>558</v>
      </c>
      <c r="U355" s="65"/>
      <c r="V355" s="65"/>
      <c r="W355" s="65"/>
      <c r="X355" s="65"/>
      <c r="Y355" s="65"/>
      <c r="Z355" s="29" t="s">
        <v>9</v>
      </c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</row>
    <row r="356" spans="1:69" s="1" customFormat="1" ht="7.5" customHeight="1">
      <c r="A356" s="29" t="s">
        <v>9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</row>
    <row r="357" spans="1:69" s="1" customFormat="1" ht="13.5" customHeight="1">
      <c r="A357" s="8" t="s">
        <v>559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63" t="s">
        <v>9</v>
      </c>
      <c r="O357" s="63"/>
      <c r="P357" s="63"/>
      <c r="Q357" s="63"/>
      <c r="R357" s="63"/>
      <c r="S357" s="63" t="s">
        <v>560</v>
      </c>
      <c r="T357" s="63"/>
      <c r="U357" s="63"/>
      <c r="V357" s="63"/>
      <c r="W357" s="63"/>
      <c r="X357" s="63"/>
      <c r="Y357" s="63"/>
      <c r="Z357" s="63"/>
      <c r="AA357" s="29" t="s">
        <v>9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</row>
    <row r="358" spans="1:69" s="1" customFormat="1" ht="13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64" t="s">
        <v>9</v>
      </c>
      <c r="O358" s="65" t="s">
        <v>557</v>
      </c>
      <c r="P358" s="65"/>
      <c r="Q358" s="65"/>
      <c r="R358" s="64" t="s">
        <v>9</v>
      </c>
      <c r="S358" s="64" t="s">
        <v>9</v>
      </c>
      <c r="T358" s="65" t="s">
        <v>558</v>
      </c>
      <c r="U358" s="65"/>
      <c r="V358" s="65"/>
      <c r="W358" s="65"/>
      <c r="X358" s="65"/>
      <c r="Y358" s="65"/>
      <c r="Z358" s="29" t="s">
        <v>9</v>
      </c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</row>
    <row r="359" spans="1:69" s="1" customFormat="1" ht="7.5" customHeight="1">
      <c r="A359" s="29" t="s">
        <v>9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</row>
    <row r="360" spans="1:69" s="1" customFormat="1" ht="13.5" customHeight="1">
      <c r="A360" s="8" t="s">
        <v>561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3" t="s">
        <v>9</v>
      </c>
      <c r="O360" s="63"/>
      <c r="P360" s="63"/>
      <c r="Q360" s="63"/>
      <c r="R360" s="63"/>
      <c r="S360" s="63" t="s">
        <v>562</v>
      </c>
      <c r="T360" s="63"/>
      <c r="U360" s="63"/>
      <c r="V360" s="63"/>
      <c r="W360" s="63"/>
      <c r="X360" s="63"/>
      <c r="Y360" s="63"/>
      <c r="Z360" s="63"/>
      <c r="AA360" s="29" t="s">
        <v>9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</row>
    <row r="361" spans="1:69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64" t="s">
        <v>9</v>
      </c>
      <c r="O361" s="65" t="s">
        <v>557</v>
      </c>
      <c r="P361" s="65"/>
      <c r="Q361" s="65"/>
      <c r="R361" s="64" t="s">
        <v>9</v>
      </c>
      <c r="S361" s="64" t="s">
        <v>9</v>
      </c>
      <c r="T361" s="65" t="s">
        <v>558</v>
      </c>
      <c r="U361" s="65"/>
      <c r="V361" s="65"/>
      <c r="W361" s="65"/>
      <c r="X361" s="65"/>
      <c r="Y361" s="65"/>
      <c r="Z361" s="29" t="s">
        <v>9</v>
      </c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</row>
    <row r="362" spans="1:69" s="1" customFormat="1" ht="7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</row>
    <row r="363" spans="1:69" s="1" customFormat="1" ht="13.5" customHeight="1">
      <c r="A363" s="8" t="s">
        <v>563</v>
      </c>
      <c r="B363" s="8"/>
      <c r="C363" s="8"/>
      <c r="D363" s="8"/>
      <c r="E363" s="63" t="s">
        <v>559</v>
      </c>
      <c r="F363" s="63"/>
      <c r="G363" s="63"/>
      <c r="H363" s="63"/>
      <c r="I363" s="63"/>
      <c r="J363" s="63"/>
      <c r="K363" s="63"/>
      <c r="L363" s="63"/>
      <c r="M363" s="63"/>
      <c r="N363" s="63" t="s">
        <v>9</v>
      </c>
      <c r="O363" s="63"/>
      <c r="P363" s="63"/>
      <c r="Q363" s="63"/>
      <c r="R363" s="63"/>
      <c r="S363" s="63" t="s">
        <v>560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</row>
    <row r="364" spans="1:69" s="1" customFormat="1" ht="13.5" customHeight="1">
      <c r="A364" s="29" t="s">
        <v>9</v>
      </c>
      <c r="B364" s="29"/>
      <c r="C364" s="29"/>
      <c r="D364" s="29"/>
      <c r="E364" s="64" t="s">
        <v>9</v>
      </c>
      <c r="F364" s="65" t="s">
        <v>564</v>
      </c>
      <c r="G364" s="65"/>
      <c r="H364" s="65"/>
      <c r="I364" s="65"/>
      <c r="J364" s="65"/>
      <c r="K364" s="65"/>
      <c r="L364" s="29" t="s">
        <v>9</v>
      </c>
      <c r="M364" s="29"/>
      <c r="N364" s="64" t="s">
        <v>9</v>
      </c>
      <c r="O364" s="65" t="s">
        <v>557</v>
      </c>
      <c r="P364" s="65"/>
      <c r="Q364" s="65"/>
      <c r="R364" s="64" t="s">
        <v>9</v>
      </c>
      <c r="S364" s="64" t="s">
        <v>9</v>
      </c>
      <c r="T364" s="65" t="s">
        <v>558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</row>
    <row r="365" spans="1:69" s="1" customFormat="1" ht="15.7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</row>
    <row r="366" spans="1:69" s="1" customFormat="1" ht="13.5" customHeight="1">
      <c r="A366" s="29" t="s">
        <v>9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</row>
    <row r="367" spans="1:69" s="1" customFormat="1" ht="13.5" customHeight="1">
      <c r="A367" s="66" t="s">
        <v>565</v>
      </c>
      <c r="B367" s="66"/>
      <c r="C367" s="66"/>
      <c r="D367" s="66"/>
      <c r="E367" s="66"/>
      <c r="F367" s="66"/>
      <c r="G367" s="66"/>
      <c r="H367" s="66"/>
      <c r="I367" s="66"/>
      <c r="J367" s="66"/>
      <c r="K367" s="29" t="s">
        <v>9</v>
      </c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</row>
    <row r="368" spans="1:69" s="1" customFormat="1" ht="13.5" customHeight="1">
      <c r="A368" s="67" t="s">
        <v>566</v>
      </c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</row>
  </sheetData>
  <sheetProtection/>
  <mergeCells count="5226">
    <mergeCell ref="A365:BQ365"/>
    <mergeCell ref="A366:BQ366"/>
    <mergeCell ref="A367:J367"/>
    <mergeCell ref="K367:BQ367"/>
    <mergeCell ref="A368:BQ368"/>
    <mergeCell ref="A364:D364"/>
    <mergeCell ref="F364:K364"/>
    <mergeCell ref="L364:M364"/>
    <mergeCell ref="O364:Q364"/>
    <mergeCell ref="T364:Y364"/>
    <mergeCell ref="Z364:BQ364"/>
    <mergeCell ref="A361:M361"/>
    <mergeCell ref="O361:Q361"/>
    <mergeCell ref="T361:Y361"/>
    <mergeCell ref="Z361:BQ361"/>
    <mergeCell ref="A362:BQ362"/>
    <mergeCell ref="A363:D363"/>
    <mergeCell ref="E363:M363"/>
    <mergeCell ref="N363:R363"/>
    <mergeCell ref="S363:Z363"/>
    <mergeCell ref="AA363:BQ363"/>
    <mergeCell ref="A358:M358"/>
    <mergeCell ref="O358:Q358"/>
    <mergeCell ref="T358:Y358"/>
    <mergeCell ref="Z358:BQ358"/>
    <mergeCell ref="A359:BQ359"/>
    <mergeCell ref="A360:M360"/>
    <mergeCell ref="N360:R360"/>
    <mergeCell ref="S360:Z360"/>
    <mergeCell ref="AA360:BQ360"/>
    <mergeCell ref="A355:M355"/>
    <mergeCell ref="O355:Q355"/>
    <mergeCell ref="T355:Y355"/>
    <mergeCell ref="Z355:BQ355"/>
    <mergeCell ref="A356:BQ356"/>
    <mergeCell ref="A357:M357"/>
    <mergeCell ref="N357:R357"/>
    <mergeCell ref="S357:Z357"/>
    <mergeCell ref="AA357:BQ357"/>
    <mergeCell ref="A352:BQ352"/>
    <mergeCell ref="A353:BQ353"/>
    <mergeCell ref="A354:M354"/>
    <mergeCell ref="N354:R354"/>
    <mergeCell ref="S354:Z354"/>
    <mergeCell ref="AA354:BQ354"/>
    <mergeCell ref="AO351:AQ351"/>
    <mergeCell ref="AR351:AT351"/>
    <mergeCell ref="AU351:AW351"/>
    <mergeCell ref="AX351:AY351"/>
    <mergeCell ref="AZ351:BD351"/>
    <mergeCell ref="BE249:BQ351"/>
    <mergeCell ref="AU350:AW350"/>
    <mergeCell ref="AX350:AY350"/>
    <mergeCell ref="AZ350:BD350"/>
    <mergeCell ref="C351:U351"/>
    <mergeCell ref="V351:X351"/>
    <mergeCell ref="Y351:AB351"/>
    <mergeCell ref="AC351:AE351"/>
    <mergeCell ref="AF351:AH351"/>
    <mergeCell ref="AI351:AJ351"/>
    <mergeCell ref="AK351:AN351"/>
    <mergeCell ref="AZ349:BD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R350:AT350"/>
    <mergeCell ref="AI349:AJ349"/>
    <mergeCell ref="AK349:AN349"/>
    <mergeCell ref="AO349:AQ349"/>
    <mergeCell ref="AR349:AT349"/>
    <mergeCell ref="AU349:AW349"/>
    <mergeCell ref="AX349:AY349"/>
    <mergeCell ref="AO348:AQ348"/>
    <mergeCell ref="AR348:AT348"/>
    <mergeCell ref="AU348:AW348"/>
    <mergeCell ref="AX348:AY348"/>
    <mergeCell ref="AZ348:BD348"/>
    <mergeCell ref="C349:U349"/>
    <mergeCell ref="V349:X349"/>
    <mergeCell ref="Y349:AB349"/>
    <mergeCell ref="AC349:AE349"/>
    <mergeCell ref="AF349:AH349"/>
    <mergeCell ref="AU347:AW347"/>
    <mergeCell ref="AX347:AY347"/>
    <mergeCell ref="AZ347:BD347"/>
    <mergeCell ref="C348:U348"/>
    <mergeCell ref="V348:X348"/>
    <mergeCell ref="Y348:AB348"/>
    <mergeCell ref="AC348:AE348"/>
    <mergeCell ref="AF348:AH348"/>
    <mergeCell ref="AI348:AJ348"/>
    <mergeCell ref="AK348:AN348"/>
    <mergeCell ref="AZ346:BD346"/>
    <mergeCell ref="C347:U347"/>
    <mergeCell ref="V347:X347"/>
    <mergeCell ref="Y347:AB347"/>
    <mergeCell ref="AC347:AE347"/>
    <mergeCell ref="AF347:AH347"/>
    <mergeCell ref="AI347:AJ347"/>
    <mergeCell ref="AK347:AN347"/>
    <mergeCell ref="AO347:AQ347"/>
    <mergeCell ref="AR347:AT347"/>
    <mergeCell ref="AI346:AJ346"/>
    <mergeCell ref="AK346:AN346"/>
    <mergeCell ref="AO346:AQ346"/>
    <mergeCell ref="AR346:AT346"/>
    <mergeCell ref="AU346:AW346"/>
    <mergeCell ref="AX346:AY346"/>
    <mergeCell ref="AO345:AQ345"/>
    <mergeCell ref="AR345:AT345"/>
    <mergeCell ref="AU345:AW345"/>
    <mergeCell ref="AX345:AY345"/>
    <mergeCell ref="AZ345:BD345"/>
    <mergeCell ref="C346:U346"/>
    <mergeCell ref="V346:X346"/>
    <mergeCell ref="Y346:AB346"/>
    <mergeCell ref="AC346:AE346"/>
    <mergeCell ref="AF346:AH346"/>
    <mergeCell ref="AU344:AW344"/>
    <mergeCell ref="AX344:AY344"/>
    <mergeCell ref="AZ344:BD344"/>
    <mergeCell ref="C345:U345"/>
    <mergeCell ref="V345:X345"/>
    <mergeCell ref="Y345:AB345"/>
    <mergeCell ref="AC345:AE345"/>
    <mergeCell ref="AF345:AH345"/>
    <mergeCell ref="AI345:AJ345"/>
    <mergeCell ref="AK345:AN345"/>
    <mergeCell ref="AZ343:BD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R344:AT344"/>
    <mergeCell ref="AI343:AJ343"/>
    <mergeCell ref="AK343:AN343"/>
    <mergeCell ref="AO343:AQ343"/>
    <mergeCell ref="AR343:AT343"/>
    <mergeCell ref="AU343:AW343"/>
    <mergeCell ref="AX343:AY343"/>
    <mergeCell ref="AO342:AQ342"/>
    <mergeCell ref="AR342:AT342"/>
    <mergeCell ref="AU342:AW342"/>
    <mergeCell ref="AX342:AY342"/>
    <mergeCell ref="AZ342:BD342"/>
    <mergeCell ref="C343:U343"/>
    <mergeCell ref="V343:X343"/>
    <mergeCell ref="Y343:AB343"/>
    <mergeCell ref="AC343:AE343"/>
    <mergeCell ref="AF343:AH343"/>
    <mergeCell ref="AU341:AW341"/>
    <mergeCell ref="AX341:AY341"/>
    <mergeCell ref="AZ341:BD341"/>
    <mergeCell ref="B342:U342"/>
    <mergeCell ref="V342:X342"/>
    <mergeCell ref="Y342:AB342"/>
    <mergeCell ref="AC342:AE342"/>
    <mergeCell ref="AF342:AH342"/>
    <mergeCell ref="AI342:AJ342"/>
    <mergeCell ref="AK342:AN342"/>
    <mergeCell ref="AZ340:BD340"/>
    <mergeCell ref="B341:U341"/>
    <mergeCell ref="V341:X341"/>
    <mergeCell ref="Y341:AB341"/>
    <mergeCell ref="AC341:AE341"/>
    <mergeCell ref="AF341:AH341"/>
    <mergeCell ref="AI341:AJ341"/>
    <mergeCell ref="AK341:AN341"/>
    <mergeCell ref="AO341:AQ341"/>
    <mergeCell ref="AR341:AT341"/>
    <mergeCell ref="AI340:AJ340"/>
    <mergeCell ref="AK340:AN340"/>
    <mergeCell ref="AO340:AQ340"/>
    <mergeCell ref="AR340:AT340"/>
    <mergeCell ref="AU340:AW340"/>
    <mergeCell ref="AX340:AY340"/>
    <mergeCell ref="AO339:AQ339"/>
    <mergeCell ref="AR339:AT339"/>
    <mergeCell ref="AU339:AW339"/>
    <mergeCell ref="AX339:AY339"/>
    <mergeCell ref="AZ339:BD339"/>
    <mergeCell ref="C340:U340"/>
    <mergeCell ref="V340:X340"/>
    <mergeCell ref="Y340:AB340"/>
    <mergeCell ref="AC340:AE340"/>
    <mergeCell ref="AF340:AH340"/>
    <mergeCell ref="AU338:AW338"/>
    <mergeCell ref="AX338:AY338"/>
    <mergeCell ref="AZ338:BD338"/>
    <mergeCell ref="C339:U339"/>
    <mergeCell ref="V339:X339"/>
    <mergeCell ref="Y339:AB339"/>
    <mergeCell ref="AC339:AE339"/>
    <mergeCell ref="AF339:AH339"/>
    <mergeCell ref="AI339:AJ339"/>
    <mergeCell ref="AK339:AN339"/>
    <mergeCell ref="AZ337:BD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R338:AT338"/>
    <mergeCell ref="AI337:AJ337"/>
    <mergeCell ref="AK337:AN337"/>
    <mergeCell ref="AO337:AQ337"/>
    <mergeCell ref="AR337:AT337"/>
    <mergeCell ref="AU337:AW337"/>
    <mergeCell ref="AX337:AY337"/>
    <mergeCell ref="AO336:AQ336"/>
    <mergeCell ref="AR336:AT336"/>
    <mergeCell ref="AU336:AW336"/>
    <mergeCell ref="AX336:AY336"/>
    <mergeCell ref="AZ336:BD336"/>
    <mergeCell ref="C337:U337"/>
    <mergeCell ref="V337:X337"/>
    <mergeCell ref="Y337:AB337"/>
    <mergeCell ref="AC337:AE337"/>
    <mergeCell ref="AF337:AH337"/>
    <mergeCell ref="AU335:AW335"/>
    <mergeCell ref="AX335:AY335"/>
    <mergeCell ref="AZ335:BD335"/>
    <mergeCell ref="C336:U336"/>
    <mergeCell ref="V336:X336"/>
    <mergeCell ref="Y336:AB336"/>
    <mergeCell ref="AC336:AE336"/>
    <mergeCell ref="AF336:AH336"/>
    <mergeCell ref="AI336:AJ336"/>
    <mergeCell ref="AK336:AN336"/>
    <mergeCell ref="AZ334:BD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R335:AT335"/>
    <mergeCell ref="AI334:AJ334"/>
    <mergeCell ref="AK334:AN334"/>
    <mergeCell ref="AO334:AQ334"/>
    <mergeCell ref="AR334:AT334"/>
    <mergeCell ref="AU334:AW334"/>
    <mergeCell ref="AX334:AY334"/>
    <mergeCell ref="AO333:AQ333"/>
    <mergeCell ref="AR333:AT333"/>
    <mergeCell ref="AU333:AW333"/>
    <mergeCell ref="AX333:AY333"/>
    <mergeCell ref="AZ333:BD333"/>
    <mergeCell ref="C334:U334"/>
    <mergeCell ref="V334:X334"/>
    <mergeCell ref="Y334:AB334"/>
    <mergeCell ref="AC334:AE334"/>
    <mergeCell ref="AF334:AH334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I333:AJ333"/>
    <mergeCell ref="AK333:AN333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R332:AT332"/>
    <mergeCell ref="AI331:AJ331"/>
    <mergeCell ref="AK331:AN331"/>
    <mergeCell ref="AO331:AQ331"/>
    <mergeCell ref="AR331:AT331"/>
    <mergeCell ref="AU331:AW331"/>
    <mergeCell ref="AX331:AY331"/>
    <mergeCell ref="AO330:AQ330"/>
    <mergeCell ref="AR330:AT330"/>
    <mergeCell ref="AU330:AW330"/>
    <mergeCell ref="AX330:AY330"/>
    <mergeCell ref="AZ330:BD330"/>
    <mergeCell ref="B331:U331"/>
    <mergeCell ref="V331:X331"/>
    <mergeCell ref="Y331:AB331"/>
    <mergeCell ref="AC331:AE331"/>
    <mergeCell ref="AF331:AH331"/>
    <mergeCell ref="AU329:AW329"/>
    <mergeCell ref="AX329:AY329"/>
    <mergeCell ref="AZ329:BD329"/>
    <mergeCell ref="B330:U330"/>
    <mergeCell ref="V330:X330"/>
    <mergeCell ref="Y330:AB330"/>
    <mergeCell ref="AC330:AE330"/>
    <mergeCell ref="AF330:AH330"/>
    <mergeCell ref="AI330:AJ330"/>
    <mergeCell ref="AK330:AN330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R329:AT329"/>
    <mergeCell ref="AI328:AJ328"/>
    <mergeCell ref="AK328:AN328"/>
    <mergeCell ref="AO328:AQ328"/>
    <mergeCell ref="AR328:AT328"/>
    <mergeCell ref="AU328:AW328"/>
    <mergeCell ref="AX328:AY328"/>
    <mergeCell ref="AO327:AQ327"/>
    <mergeCell ref="AR327:AT327"/>
    <mergeCell ref="AU327:AW327"/>
    <mergeCell ref="AX327:AY327"/>
    <mergeCell ref="AZ327:BD327"/>
    <mergeCell ref="C328:U328"/>
    <mergeCell ref="V328:X328"/>
    <mergeCell ref="Y328:AB328"/>
    <mergeCell ref="AC328:AE328"/>
    <mergeCell ref="AF328:AH328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I327:AJ327"/>
    <mergeCell ref="AK327:AN327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R326:AT326"/>
    <mergeCell ref="AI325:AJ325"/>
    <mergeCell ref="AK325:AN325"/>
    <mergeCell ref="AO325:AQ325"/>
    <mergeCell ref="AR325:AT325"/>
    <mergeCell ref="AU325:AW325"/>
    <mergeCell ref="AX325:AY325"/>
    <mergeCell ref="AO324:AQ324"/>
    <mergeCell ref="AR324:AT324"/>
    <mergeCell ref="AU324:AW324"/>
    <mergeCell ref="AX324:AY324"/>
    <mergeCell ref="AZ324:BD324"/>
    <mergeCell ref="C325:U325"/>
    <mergeCell ref="V325:X325"/>
    <mergeCell ref="Y325:AB325"/>
    <mergeCell ref="AC325:AE325"/>
    <mergeCell ref="AF325:AH325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I324:AJ324"/>
    <mergeCell ref="AK324:AN324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R323:AT323"/>
    <mergeCell ref="AI322:AJ322"/>
    <mergeCell ref="AK322:AN322"/>
    <mergeCell ref="AO322:AQ322"/>
    <mergeCell ref="AR322:AT322"/>
    <mergeCell ref="AU322:AW322"/>
    <mergeCell ref="AX322:AY322"/>
    <mergeCell ref="AO321:AQ321"/>
    <mergeCell ref="AR321:AT321"/>
    <mergeCell ref="AU321:AW321"/>
    <mergeCell ref="AX321:AY321"/>
    <mergeCell ref="AZ321:BD321"/>
    <mergeCell ref="C322:U322"/>
    <mergeCell ref="V322:X322"/>
    <mergeCell ref="Y322:AB322"/>
    <mergeCell ref="AC322:AE322"/>
    <mergeCell ref="AF322:AH322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I321:AJ321"/>
    <mergeCell ref="AK321:AN321"/>
    <mergeCell ref="AZ319:BD319"/>
    <mergeCell ref="B320:U320"/>
    <mergeCell ref="V320:X320"/>
    <mergeCell ref="Y320:AB320"/>
    <mergeCell ref="AC320:AE320"/>
    <mergeCell ref="AF320:AH320"/>
    <mergeCell ref="AI320:AJ320"/>
    <mergeCell ref="AK320:AN320"/>
    <mergeCell ref="AO320:AQ320"/>
    <mergeCell ref="AR320:AT320"/>
    <mergeCell ref="AI319:AJ319"/>
    <mergeCell ref="AK319:AN319"/>
    <mergeCell ref="AO319:AQ319"/>
    <mergeCell ref="AR319:AT319"/>
    <mergeCell ref="AU319:AW319"/>
    <mergeCell ref="AX319:AY319"/>
    <mergeCell ref="AO318:AQ318"/>
    <mergeCell ref="AR318:AT318"/>
    <mergeCell ref="AU318:AW318"/>
    <mergeCell ref="AX318:AY318"/>
    <mergeCell ref="AZ318:BD318"/>
    <mergeCell ref="B319:U319"/>
    <mergeCell ref="V319:X319"/>
    <mergeCell ref="Y319:AB319"/>
    <mergeCell ref="AC319:AE319"/>
    <mergeCell ref="AF319:AH319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I318:AJ318"/>
    <mergeCell ref="AK318:AN318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R317:AT317"/>
    <mergeCell ref="AI316:AJ316"/>
    <mergeCell ref="AK316:AN316"/>
    <mergeCell ref="AO316:AQ316"/>
    <mergeCell ref="AR316:AT316"/>
    <mergeCell ref="AU316:AW316"/>
    <mergeCell ref="AX316:AY316"/>
    <mergeCell ref="AO315:AQ315"/>
    <mergeCell ref="AR315:AT315"/>
    <mergeCell ref="AU315:AW315"/>
    <mergeCell ref="AX315:AY315"/>
    <mergeCell ref="AZ315:BD315"/>
    <mergeCell ref="C316:U316"/>
    <mergeCell ref="V316:X316"/>
    <mergeCell ref="Y316:AB316"/>
    <mergeCell ref="AC316:AE316"/>
    <mergeCell ref="AF316:AH316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I315:AJ315"/>
    <mergeCell ref="AK315:AN315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R314:AT314"/>
    <mergeCell ref="AI313:AJ313"/>
    <mergeCell ref="AK313:AN313"/>
    <mergeCell ref="AO313:AQ313"/>
    <mergeCell ref="AR313:AT313"/>
    <mergeCell ref="AU313:AW313"/>
    <mergeCell ref="AX313:AY313"/>
    <mergeCell ref="AO312:AQ312"/>
    <mergeCell ref="AR312:AT312"/>
    <mergeCell ref="AU312:AW312"/>
    <mergeCell ref="AX312:AY312"/>
    <mergeCell ref="AZ312:BD312"/>
    <mergeCell ref="C313:U313"/>
    <mergeCell ref="V313:X313"/>
    <mergeCell ref="Y313:AB313"/>
    <mergeCell ref="AC313:AE313"/>
    <mergeCell ref="AF313:AH313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I312:AJ312"/>
    <mergeCell ref="AK312:AN312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R311:AT311"/>
    <mergeCell ref="AI310:AJ310"/>
    <mergeCell ref="AK310:AN310"/>
    <mergeCell ref="AO310:AQ310"/>
    <mergeCell ref="AR310:AT310"/>
    <mergeCell ref="AU310:AW310"/>
    <mergeCell ref="AX310:AY310"/>
    <mergeCell ref="AO309:AQ309"/>
    <mergeCell ref="AR309:AT309"/>
    <mergeCell ref="AU309:AW309"/>
    <mergeCell ref="AX309:AY309"/>
    <mergeCell ref="AZ309:BD309"/>
    <mergeCell ref="C310:U310"/>
    <mergeCell ref="V310:X310"/>
    <mergeCell ref="Y310:AB310"/>
    <mergeCell ref="AC310:AE310"/>
    <mergeCell ref="AF310:AH310"/>
    <mergeCell ref="AU308:AW308"/>
    <mergeCell ref="AX308:AY308"/>
    <mergeCell ref="AZ308:BD308"/>
    <mergeCell ref="B309:U309"/>
    <mergeCell ref="V309:X309"/>
    <mergeCell ref="Y309:AB309"/>
    <mergeCell ref="AC309:AE309"/>
    <mergeCell ref="AF309:AH309"/>
    <mergeCell ref="AI309:AJ309"/>
    <mergeCell ref="AK309:AN309"/>
    <mergeCell ref="AZ307:BD307"/>
    <mergeCell ref="B308:U308"/>
    <mergeCell ref="V308:X308"/>
    <mergeCell ref="Y308:AB308"/>
    <mergeCell ref="AC308:AE308"/>
    <mergeCell ref="AF308:AH308"/>
    <mergeCell ref="AI308:AJ308"/>
    <mergeCell ref="AK308:AN308"/>
    <mergeCell ref="AO308:AQ308"/>
    <mergeCell ref="AR308:AT308"/>
    <mergeCell ref="AI307:AJ307"/>
    <mergeCell ref="AK307:AN307"/>
    <mergeCell ref="AO307:AQ307"/>
    <mergeCell ref="AR307:AT307"/>
    <mergeCell ref="AU307:AW307"/>
    <mergeCell ref="AX307:AY307"/>
    <mergeCell ref="AO306:AQ306"/>
    <mergeCell ref="AR306:AT306"/>
    <mergeCell ref="AU306:AW306"/>
    <mergeCell ref="AX306:AY306"/>
    <mergeCell ref="AZ306:BD306"/>
    <mergeCell ref="C307:U307"/>
    <mergeCell ref="V307:X307"/>
    <mergeCell ref="Y307:AB307"/>
    <mergeCell ref="AC307:AE307"/>
    <mergeCell ref="AF307:AH307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I306:AJ306"/>
    <mergeCell ref="AK306:AN306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R305:AT305"/>
    <mergeCell ref="AI304:AJ304"/>
    <mergeCell ref="AK304:AN304"/>
    <mergeCell ref="AO304:AQ304"/>
    <mergeCell ref="AR304:AT304"/>
    <mergeCell ref="AU304:AW304"/>
    <mergeCell ref="AX304:AY304"/>
    <mergeCell ref="AO303:AQ303"/>
    <mergeCell ref="AR303:AT303"/>
    <mergeCell ref="AU303:AW303"/>
    <mergeCell ref="AX303:AY303"/>
    <mergeCell ref="AZ303:BD303"/>
    <mergeCell ref="C304:U304"/>
    <mergeCell ref="V304:X304"/>
    <mergeCell ref="Y304:AB304"/>
    <mergeCell ref="AC304:AE304"/>
    <mergeCell ref="AF304:AH304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I303:AJ303"/>
    <mergeCell ref="AK303:AN303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R302:AT302"/>
    <mergeCell ref="AI301:AJ301"/>
    <mergeCell ref="AK301:AN301"/>
    <mergeCell ref="AO301:AQ301"/>
    <mergeCell ref="AR301:AT301"/>
    <mergeCell ref="AU301:AW301"/>
    <mergeCell ref="AX301:AY301"/>
    <mergeCell ref="AO300:AQ300"/>
    <mergeCell ref="AR300:AT300"/>
    <mergeCell ref="AU300:AW300"/>
    <mergeCell ref="AX300:AY300"/>
    <mergeCell ref="AZ300:BD300"/>
    <mergeCell ref="C301:U301"/>
    <mergeCell ref="V301:X301"/>
    <mergeCell ref="Y301:AB301"/>
    <mergeCell ref="AC301:AE301"/>
    <mergeCell ref="AF301:AH301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I300:AJ300"/>
    <mergeCell ref="AK300:AN300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R299:AT299"/>
    <mergeCell ref="AI298:AJ298"/>
    <mergeCell ref="AK298:AN298"/>
    <mergeCell ref="AO298:AQ298"/>
    <mergeCell ref="AR298:AT298"/>
    <mergeCell ref="AU298:AW298"/>
    <mergeCell ref="AX298:AY298"/>
    <mergeCell ref="AO297:AQ297"/>
    <mergeCell ref="AR297:AT297"/>
    <mergeCell ref="AU297:AW297"/>
    <mergeCell ref="AX297:AY297"/>
    <mergeCell ref="AZ297:BD297"/>
    <mergeCell ref="B298:U298"/>
    <mergeCell ref="V298:X298"/>
    <mergeCell ref="Y298:AB298"/>
    <mergeCell ref="AC298:AE298"/>
    <mergeCell ref="AF298:AH298"/>
    <mergeCell ref="AU296:AW296"/>
    <mergeCell ref="AX296:AY296"/>
    <mergeCell ref="AZ296:BD296"/>
    <mergeCell ref="B297:U297"/>
    <mergeCell ref="V297:X297"/>
    <mergeCell ref="Y297:AB297"/>
    <mergeCell ref="AC297:AE297"/>
    <mergeCell ref="AF297:AH297"/>
    <mergeCell ref="AI297:AJ297"/>
    <mergeCell ref="AK297:AN297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R296:AT296"/>
    <mergeCell ref="AI295:AJ295"/>
    <mergeCell ref="AK295:AN295"/>
    <mergeCell ref="AO295:AQ295"/>
    <mergeCell ref="AR295:AT295"/>
    <mergeCell ref="AU295:AW295"/>
    <mergeCell ref="AX295:AY295"/>
    <mergeCell ref="AO294:AQ294"/>
    <mergeCell ref="AR294:AT294"/>
    <mergeCell ref="AU294:AW294"/>
    <mergeCell ref="AX294:AY294"/>
    <mergeCell ref="AZ294:BD294"/>
    <mergeCell ref="C295:U295"/>
    <mergeCell ref="V295:X295"/>
    <mergeCell ref="Y295:AB295"/>
    <mergeCell ref="AC295:AE295"/>
    <mergeCell ref="AF295:AH295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I294:AJ294"/>
    <mergeCell ref="AK294:AN294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R293:AT293"/>
    <mergeCell ref="AI292:AJ292"/>
    <mergeCell ref="AK292:AN292"/>
    <mergeCell ref="AO292:AQ292"/>
    <mergeCell ref="AR292:AT292"/>
    <mergeCell ref="AU292:AW292"/>
    <mergeCell ref="AX292:AY292"/>
    <mergeCell ref="AO291:AQ291"/>
    <mergeCell ref="AR291:AT291"/>
    <mergeCell ref="AU291:AW291"/>
    <mergeCell ref="AX291:AY291"/>
    <mergeCell ref="AZ291:BD291"/>
    <mergeCell ref="C292:U292"/>
    <mergeCell ref="V292:X292"/>
    <mergeCell ref="Y292:AB292"/>
    <mergeCell ref="AC292:AE292"/>
    <mergeCell ref="AF292:AH292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I291:AJ291"/>
    <mergeCell ref="AK291:AN291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R290:AT290"/>
    <mergeCell ref="AI289:AJ289"/>
    <mergeCell ref="AK289:AN289"/>
    <mergeCell ref="AO289:AQ289"/>
    <mergeCell ref="AR289:AT289"/>
    <mergeCell ref="AU289:AW289"/>
    <mergeCell ref="AX289:AY289"/>
    <mergeCell ref="AO288:AQ288"/>
    <mergeCell ref="AR288:AT288"/>
    <mergeCell ref="AU288:AW288"/>
    <mergeCell ref="AX288:AY288"/>
    <mergeCell ref="AZ288:BD288"/>
    <mergeCell ref="C289:U289"/>
    <mergeCell ref="V289:X289"/>
    <mergeCell ref="Y289:AB289"/>
    <mergeCell ref="AC289:AE289"/>
    <mergeCell ref="AF289:AH289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I288:AJ288"/>
    <mergeCell ref="AK288:AN288"/>
    <mergeCell ref="AZ286:BD286"/>
    <mergeCell ref="B287:U287"/>
    <mergeCell ref="V287:X287"/>
    <mergeCell ref="Y287:AB287"/>
    <mergeCell ref="AC287:AE287"/>
    <mergeCell ref="AF287:AH287"/>
    <mergeCell ref="AI287:AJ287"/>
    <mergeCell ref="AK287:AN287"/>
    <mergeCell ref="AO287:AQ287"/>
    <mergeCell ref="AR287:AT287"/>
    <mergeCell ref="AI286:AJ286"/>
    <mergeCell ref="AK286:AN286"/>
    <mergeCell ref="AO286:AQ286"/>
    <mergeCell ref="AR286:AT286"/>
    <mergeCell ref="AU286:AW286"/>
    <mergeCell ref="AX286:AY286"/>
    <mergeCell ref="AO285:AQ285"/>
    <mergeCell ref="AR285:AT285"/>
    <mergeCell ref="AU285:AW285"/>
    <mergeCell ref="AX285:AY285"/>
    <mergeCell ref="AZ285:BD285"/>
    <mergeCell ref="B286:U286"/>
    <mergeCell ref="V286:X286"/>
    <mergeCell ref="Y286:AB286"/>
    <mergeCell ref="AC286:AE286"/>
    <mergeCell ref="AF286:AH286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I285:AJ285"/>
    <mergeCell ref="AK285:AN285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R284:AT284"/>
    <mergeCell ref="AI283:AJ283"/>
    <mergeCell ref="AK283:AN283"/>
    <mergeCell ref="AO283:AQ283"/>
    <mergeCell ref="AR283:AT283"/>
    <mergeCell ref="AU283:AW283"/>
    <mergeCell ref="AX283:AY283"/>
    <mergeCell ref="AO282:AQ282"/>
    <mergeCell ref="AR282:AT282"/>
    <mergeCell ref="AU282:AW282"/>
    <mergeCell ref="AX282:AY282"/>
    <mergeCell ref="AZ282:BD282"/>
    <mergeCell ref="C283:U283"/>
    <mergeCell ref="V283:X283"/>
    <mergeCell ref="Y283:AB283"/>
    <mergeCell ref="AC283:AE283"/>
    <mergeCell ref="AF283:AH283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I282:AJ282"/>
    <mergeCell ref="AK282:AN282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R281:AT281"/>
    <mergeCell ref="AI280:AJ280"/>
    <mergeCell ref="AK280:AN280"/>
    <mergeCell ref="AO280:AQ280"/>
    <mergeCell ref="AR280:AT280"/>
    <mergeCell ref="AU280:AW280"/>
    <mergeCell ref="AX280:AY280"/>
    <mergeCell ref="AO279:AQ279"/>
    <mergeCell ref="AR279:AT279"/>
    <mergeCell ref="AU279:AW279"/>
    <mergeCell ref="AX279:AY279"/>
    <mergeCell ref="AZ279:BD279"/>
    <mergeCell ref="C280:U280"/>
    <mergeCell ref="V280:X280"/>
    <mergeCell ref="Y280:AB280"/>
    <mergeCell ref="AC280:AE280"/>
    <mergeCell ref="AF280:AH280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I279:AJ279"/>
    <mergeCell ref="AK279:AN279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R278:AT278"/>
    <mergeCell ref="AI277:AJ277"/>
    <mergeCell ref="AK277:AN277"/>
    <mergeCell ref="AO277:AQ277"/>
    <mergeCell ref="AR277:AT277"/>
    <mergeCell ref="AU277:AW277"/>
    <mergeCell ref="AX277:AY277"/>
    <mergeCell ref="AO276:AQ276"/>
    <mergeCell ref="AR276:AT276"/>
    <mergeCell ref="AU276:AW276"/>
    <mergeCell ref="AX276:AY276"/>
    <mergeCell ref="AZ276:BD276"/>
    <mergeCell ref="C277:U277"/>
    <mergeCell ref="V277:X277"/>
    <mergeCell ref="Y277:AB277"/>
    <mergeCell ref="AC277:AE277"/>
    <mergeCell ref="AF277:AH277"/>
    <mergeCell ref="AU275:AW275"/>
    <mergeCell ref="AX275:AY275"/>
    <mergeCell ref="AZ275:BD275"/>
    <mergeCell ref="B276:U276"/>
    <mergeCell ref="V276:X276"/>
    <mergeCell ref="Y276:AB276"/>
    <mergeCell ref="AC276:AE276"/>
    <mergeCell ref="AF276:AH276"/>
    <mergeCell ref="AI276:AJ276"/>
    <mergeCell ref="AK276:AN276"/>
    <mergeCell ref="AZ274:BD274"/>
    <mergeCell ref="B275:U275"/>
    <mergeCell ref="V275:X275"/>
    <mergeCell ref="Y275:AB275"/>
    <mergeCell ref="AC275:AE275"/>
    <mergeCell ref="AF275:AH275"/>
    <mergeCell ref="AI275:AJ275"/>
    <mergeCell ref="AK275:AN275"/>
    <mergeCell ref="AO275:AQ275"/>
    <mergeCell ref="AR275:AT275"/>
    <mergeCell ref="AI274:AJ274"/>
    <mergeCell ref="AK274:AN274"/>
    <mergeCell ref="AO274:AQ274"/>
    <mergeCell ref="AR274:AT274"/>
    <mergeCell ref="AU274:AW274"/>
    <mergeCell ref="AX274:AY274"/>
    <mergeCell ref="AO273:AQ273"/>
    <mergeCell ref="AR273:AT273"/>
    <mergeCell ref="AU273:AW273"/>
    <mergeCell ref="AX273:AY273"/>
    <mergeCell ref="AZ273:BD273"/>
    <mergeCell ref="C274:U274"/>
    <mergeCell ref="V274:X274"/>
    <mergeCell ref="Y274:AB274"/>
    <mergeCell ref="AC274:AE274"/>
    <mergeCell ref="AF274:AH274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I273:AJ273"/>
    <mergeCell ref="AK273:AN273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R272:AT272"/>
    <mergeCell ref="AI271:AJ271"/>
    <mergeCell ref="AK271:AN271"/>
    <mergeCell ref="AO271:AQ271"/>
    <mergeCell ref="AR271:AT271"/>
    <mergeCell ref="AU271:AW271"/>
    <mergeCell ref="AX271:AY271"/>
    <mergeCell ref="AO270:AQ270"/>
    <mergeCell ref="AR270:AT270"/>
    <mergeCell ref="AU270:AW270"/>
    <mergeCell ref="AX270:AY270"/>
    <mergeCell ref="AZ270:BD270"/>
    <mergeCell ref="C271:U271"/>
    <mergeCell ref="V271:X271"/>
    <mergeCell ref="Y271:AB271"/>
    <mergeCell ref="AC271:AE271"/>
    <mergeCell ref="AF271:AH271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I270:AJ270"/>
    <mergeCell ref="AK270:AN270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R269:AT269"/>
    <mergeCell ref="AI268:AJ268"/>
    <mergeCell ref="AK268:AN268"/>
    <mergeCell ref="AO268:AQ268"/>
    <mergeCell ref="AR268:AT268"/>
    <mergeCell ref="AU268:AW268"/>
    <mergeCell ref="AX268:AY268"/>
    <mergeCell ref="AO267:AQ267"/>
    <mergeCell ref="AR267:AT267"/>
    <mergeCell ref="AU267:AW267"/>
    <mergeCell ref="AX267:AY267"/>
    <mergeCell ref="AZ267:BD267"/>
    <mergeCell ref="C268:U268"/>
    <mergeCell ref="V268:X268"/>
    <mergeCell ref="Y268:AB268"/>
    <mergeCell ref="AC268:AE268"/>
    <mergeCell ref="AF268:AH268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I267:AJ267"/>
    <mergeCell ref="AK267:AN267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R266:AT266"/>
    <mergeCell ref="AI265:AJ265"/>
    <mergeCell ref="AK265:AN265"/>
    <mergeCell ref="AO265:AQ265"/>
    <mergeCell ref="AR265:AT265"/>
    <mergeCell ref="AU265:AW265"/>
    <mergeCell ref="AX265:AY265"/>
    <mergeCell ref="AO264:AQ264"/>
    <mergeCell ref="AR264:AT264"/>
    <mergeCell ref="AU264:AW264"/>
    <mergeCell ref="AX264:AY264"/>
    <mergeCell ref="AZ264:BD264"/>
    <mergeCell ref="B265:U265"/>
    <mergeCell ref="V265:X265"/>
    <mergeCell ref="Y265:AB265"/>
    <mergeCell ref="AC265:AE265"/>
    <mergeCell ref="AF265:AH265"/>
    <mergeCell ref="AU263:AW263"/>
    <mergeCell ref="AX263:AY263"/>
    <mergeCell ref="AZ263:BD263"/>
    <mergeCell ref="B264:U264"/>
    <mergeCell ref="V264:X264"/>
    <mergeCell ref="Y264:AB264"/>
    <mergeCell ref="AC264:AE264"/>
    <mergeCell ref="AF264:AH264"/>
    <mergeCell ref="AI264:AJ264"/>
    <mergeCell ref="AK264:AN264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R263:AT263"/>
    <mergeCell ref="AI262:AJ262"/>
    <mergeCell ref="AK262:AN262"/>
    <mergeCell ref="AO262:AQ262"/>
    <mergeCell ref="AR262:AT262"/>
    <mergeCell ref="AU262:AW262"/>
    <mergeCell ref="AX262:AY262"/>
    <mergeCell ref="AO261:AQ261"/>
    <mergeCell ref="AR261:AT261"/>
    <mergeCell ref="AU261:AW261"/>
    <mergeCell ref="AX261:AY261"/>
    <mergeCell ref="AZ261:BD261"/>
    <mergeCell ref="C262:U262"/>
    <mergeCell ref="V262:X262"/>
    <mergeCell ref="Y262:AB262"/>
    <mergeCell ref="AC262:AE262"/>
    <mergeCell ref="AF262:AH262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I261:AJ261"/>
    <mergeCell ref="AK261:AN261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R260:AT260"/>
    <mergeCell ref="AI259:AJ259"/>
    <mergeCell ref="AK259:AN259"/>
    <mergeCell ref="AO259:AQ259"/>
    <mergeCell ref="AR259:AT259"/>
    <mergeCell ref="AU259:AW259"/>
    <mergeCell ref="AX259:AY259"/>
    <mergeCell ref="AO258:AQ258"/>
    <mergeCell ref="AR258:AT258"/>
    <mergeCell ref="AU258:AW258"/>
    <mergeCell ref="AX258:AY258"/>
    <mergeCell ref="AZ258:BD258"/>
    <mergeCell ref="C259:U259"/>
    <mergeCell ref="V259:X259"/>
    <mergeCell ref="Y259:AB259"/>
    <mergeCell ref="AC259:AE259"/>
    <mergeCell ref="AF259:AH259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I258:AJ258"/>
    <mergeCell ref="AK258:AN258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R257:AT257"/>
    <mergeCell ref="AI256:AJ256"/>
    <mergeCell ref="AK256:AN256"/>
    <mergeCell ref="AO256:AQ256"/>
    <mergeCell ref="AR256:AT256"/>
    <mergeCell ref="AU256:AW256"/>
    <mergeCell ref="AX256:AY256"/>
    <mergeCell ref="AO255:AQ255"/>
    <mergeCell ref="AR255:AT255"/>
    <mergeCell ref="AU255:AW255"/>
    <mergeCell ref="AX255:AY255"/>
    <mergeCell ref="AZ255:BD255"/>
    <mergeCell ref="C256:U256"/>
    <mergeCell ref="V256:X256"/>
    <mergeCell ref="Y256:AB256"/>
    <mergeCell ref="AC256:AE256"/>
    <mergeCell ref="AF256:AH256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I255:AJ255"/>
    <mergeCell ref="AK255:AN255"/>
    <mergeCell ref="AZ253:BD253"/>
    <mergeCell ref="B254:U254"/>
    <mergeCell ref="V254:X254"/>
    <mergeCell ref="Y254:AB254"/>
    <mergeCell ref="AC254:AE254"/>
    <mergeCell ref="AF254:AH254"/>
    <mergeCell ref="AI254:AJ254"/>
    <mergeCell ref="AK254:AN254"/>
    <mergeCell ref="AO254:AQ254"/>
    <mergeCell ref="AR254:AT254"/>
    <mergeCell ref="AI253:AJ253"/>
    <mergeCell ref="AK253:AN253"/>
    <mergeCell ref="AO253:AQ253"/>
    <mergeCell ref="AR253:AT253"/>
    <mergeCell ref="AU253:AW253"/>
    <mergeCell ref="AX253:AY253"/>
    <mergeCell ref="AO252:AQ252"/>
    <mergeCell ref="AR252:AT252"/>
    <mergeCell ref="AU252:AW252"/>
    <mergeCell ref="AX252:AY252"/>
    <mergeCell ref="AZ252:BD252"/>
    <mergeCell ref="B253:U253"/>
    <mergeCell ref="V253:X253"/>
    <mergeCell ref="Y253:AB253"/>
    <mergeCell ref="AC253:AE253"/>
    <mergeCell ref="AF253:AH253"/>
    <mergeCell ref="AU251:AW251"/>
    <mergeCell ref="AX251:AY251"/>
    <mergeCell ref="AZ251:BD251"/>
    <mergeCell ref="B252:U252"/>
    <mergeCell ref="V252:X252"/>
    <mergeCell ref="Y252:AB252"/>
    <mergeCell ref="AC252:AE252"/>
    <mergeCell ref="AF252:AH252"/>
    <mergeCell ref="AI252:AJ252"/>
    <mergeCell ref="AK252:AN252"/>
    <mergeCell ref="AZ249:BD250"/>
    <mergeCell ref="B251:U251"/>
    <mergeCell ref="V251:X251"/>
    <mergeCell ref="Y251:AB251"/>
    <mergeCell ref="AC251:AE251"/>
    <mergeCell ref="AF251:AH251"/>
    <mergeCell ref="AI251:AJ251"/>
    <mergeCell ref="AK251:AN251"/>
    <mergeCell ref="AO251:AQ251"/>
    <mergeCell ref="AR251:AT251"/>
    <mergeCell ref="AI250:AJ250"/>
    <mergeCell ref="AK250:AN250"/>
    <mergeCell ref="AO250:AQ250"/>
    <mergeCell ref="AR250:AT250"/>
    <mergeCell ref="AU250:AW250"/>
    <mergeCell ref="AX250:AY250"/>
    <mergeCell ref="A247:L247"/>
    <mergeCell ref="M247:BQ247"/>
    <mergeCell ref="A248:BQ248"/>
    <mergeCell ref="A249:A351"/>
    <mergeCell ref="B249:U250"/>
    <mergeCell ref="V249:X250"/>
    <mergeCell ref="Y249:AY249"/>
    <mergeCell ref="Y250:AB250"/>
    <mergeCell ref="AC250:AE250"/>
    <mergeCell ref="AF250:AH250"/>
    <mergeCell ref="AT246:AV246"/>
    <mergeCell ref="AW246:AX246"/>
    <mergeCell ref="AY246:AZ246"/>
    <mergeCell ref="BA246:BC246"/>
    <mergeCell ref="BD246:BE246"/>
    <mergeCell ref="BN246:BP246"/>
    <mergeCell ref="AB246:AD246"/>
    <mergeCell ref="AG246:AI246"/>
    <mergeCell ref="AJ246:AK246"/>
    <mergeCell ref="AL246:AM246"/>
    <mergeCell ref="AN246:AO246"/>
    <mergeCell ref="AP246:AR246"/>
    <mergeCell ref="AW245:AX245"/>
    <mergeCell ref="AY245:AZ245"/>
    <mergeCell ref="BA245:BC245"/>
    <mergeCell ref="BD245:BE245"/>
    <mergeCell ref="BN245:BP245"/>
    <mergeCell ref="A246:L246"/>
    <mergeCell ref="M246:O246"/>
    <mergeCell ref="P246:T246"/>
    <mergeCell ref="U246:W246"/>
    <mergeCell ref="X246:AA246"/>
    <mergeCell ref="AG245:AI245"/>
    <mergeCell ref="AJ245:AK245"/>
    <mergeCell ref="AL245:AM245"/>
    <mergeCell ref="AN245:AO245"/>
    <mergeCell ref="AP245:AR245"/>
    <mergeCell ref="AT245:AV245"/>
    <mergeCell ref="A245:L245"/>
    <mergeCell ref="M245:O245"/>
    <mergeCell ref="P245:T245"/>
    <mergeCell ref="U245:W245"/>
    <mergeCell ref="X245:AA245"/>
    <mergeCell ref="AB245:AD245"/>
    <mergeCell ref="AT244:AV244"/>
    <mergeCell ref="AW244:AX244"/>
    <mergeCell ref="AY244:AZ244"/>
    <mergeCell ref="BA244:BC244"/>
    <mergeCell ref="BD244:BE244"/>
    <mergeCell ref="BN244:BP244"/>
    <mergeCell ref="AB244:AD244"/>
    <mergeCell ref="AG244:AI244"/>
    <mergeCell ref="AJ244:AK244"/>
    <mergeCell ref="AL244:AM244"/>
    <mergeCell ref="AN244:AO244"/>
    <mergeCell ref="AP244:AR244"/>
    <mergeCell ref="AW243:AX243"/>
    <mergeCell ref="AY243:AZ243"/>
    <mergeCell ref="BA243:BC243"/>
    <mergeCell ref="BD243:BE243"/>
    <mergeCell ref="BN243:BP243"/>
    <mergeCell ref="A244:L244"/>
    <mergeCell ref="M244:O244"/>
    <mergeCell ref="P244:T244"/>
    <mergeCell ref="U244:W244"/>
    <mergeCell ref="X244:AA244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T242:AV242"/>
    <mergeCell ref="AW242:AX242"/>
    <mergeCell ref="AY242:AZ242"/>
    <mergeCell ref="BA242:BC242"/>
    <mergeCell ref="BD242:BE242"/>
    <mergeCell ref="BN242:BP242"/>
    <mergeCell ref="AB242:AD242"/>
    <mergeCell ref="AG242:AI242"/>
    <mergeCell ref="AJ242:AK242"/>
    <mergeCell ref="AL242:AM242"/>
    <mergeCell ref="AN242:AO242"/>
    <mergeCell ref="AP242:AR242"/>
    <mergeCell ref="AW241:AX241"/>
    <mergeCell ref="AY241:AZ241"/>
    <mergeCell ref="BA241:BC241"/>
    <mergeCell ref="BD241:BE241"/>
    <mergeCell ref="BN241:BP241"/>
    <mergeCell ref="A242:L242"/>
    <mergeCell ref="M242:O242"/>
    <mergeCell ref="P242:T242"/>
    <mergeCell ref="U242:W242"/>
    <mergeCell ref="X242:AA242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T240:AV240"/>
    <mergeCell ref="AW240:AX240"/>
    <mergeCell ref="AY240:AZ240"/>
    <mergeCell ref="BA240:BC240"/>
    <mergeCell ref="BD240:BE240"/>
    <mergeCell ref="BN240:BP240"/>
    <mergeCell ref="AB240:AD240"/>
    <mergeCell ref="AG240:AI240"/>
    <mergeCell ref="AJ240:AK240"/>
    <mergeCell ref="AL240:AM240"/>
    <mergeCell ref="AN240:AO240"/>
    <mergeCell ref="AP240:AR240"/>
    <mergeCell ref="AW239:AX239"/>
    <mergeCell ref="AY239:AZ239"/>
    <mergeCell ref="BA239:BC239"/>
    <mergeCell ref="BD239:BE239"/>
    <mergeCell ref="BN239:BP239"/>
    <mergeCell ref="A240:L240"/>
    <mergeCell ref="M240:O240"/>
    <mergeCell ref="P240:T240"/>
    <mergeCell ref="U240:W240"/>
    <mergeCell ref="X240:AA240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T238:AV238"/>
    <mergeCell ref="AW238:AX238"/>
    <mergeCell ref="AY238:AZ238"/>
    <mergeCell ref="BA238:BC238"/>
    <mergeCell ref="BD238:BE238"/>
    <mergeCell ref="BN238:BP238"/>
    <mergeCell ref="AB238:AD238"/>
    <mergeCell ref="AG238:AI238"/>
    <mergeCell ref="AJ238:AK238"/>
    <mergeCell ref="AL238:AM238"/>
    <mergeCell ref="AN238:AO238"/>
    <mergeCell ref="AP238:AR238"/>
    <mergeCell ref="AW237:AX237"/>
    <mergeCell ref="AY237:AZ237"/>
    <mergeCell ref="BA237:BC237"/>
    <mergeCell ref="BD237:BE237"/>
    <mergeCell ref="BN237:BP237"/>
    <mergeCell ref="A238:L238"/>
    <mergeCell ref="M238:O238"/>
    <mergeCell ref="P238:T238"/>
    <mergeCell ref="U238:W238"/>
    <mergeCell ref="X238:AA238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T236:AV236"/>
    <mergeCell ref="AW236:AX236"/>
    <mergeCell ref="AY236:AZ236"/>
    <mergeCell ref="BA236:BC236"/>
    <mergeCell ref="BD236:BE236"/>
    <mergeCell ref="BN236:BP236"/>
    <mergeCell ref="AB236:AD236"/>
    <mergeCell ref="AG236:AI236"/>
    <mergeCell ref="AJ236:AK236"/>
    <mergeCell ref="AL236:AM236"/>
    <mergeCell ref="AN236:AO236"/>
    <mergeCell ref="AP236:AR236"/>
    <mergeCell ref="AW235:AX235"/>
    <mergeCell ref="AY235:AZ235"/>
    <mergeCell ref="BA235:BC235"/>
    <mergeCell ref="BD235:BE235"/>
    <mergeCell ref="BN235:BP235"/>
    <mergeCell ref="A236:L236"/>
    <mergeCell ref="M236:O236"/>
    <mergeCell ref="P236:T236"/>
    <mergeCell ref="U236:W236"/>
    <mergeCell ref="X236:AA236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T234:AV234"/>
    <mergeCell ref="AW234:AX234"/>
    <mergeCell ref="AY234:AZ234"/>
    <mergeCell ref="BA234:BC234"/>
    <mergeCell ref="BD234:BE234"/>
    <mergeCell ref="BN234:BP234"/>
    <mergeCell ref="AB234:AD234"/>
    <mergeCell ref="AG234:AI234"/>
    <mergeCell ref="AJ234:AK234"/>
    <mergeCell ref="AL234:AM234"/>
    <mergeCell ref="AN234:AO234"/>
    <mergeCell ref="AP234:AR234"/>
    <mergeCell ref="AW233:AX233"/>
    <mergeCell ref="AY233:AZ233"/>
    <mergeCell ref="BA233:BC233"/>
    <mergeCell ref="BD233:BE233"/>
    <mergeCell ref="BN233:BP233"/>
    <mergeCell ref="A234:L234"/>
    <mergeCell ref="M234:O234"/>
    <mergeCell ref="P234:T234"/>
    <mergeCell ref="U234:W234"/>
    <mergeCell ref="X234:AA234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T232:AV232"/>
    <mergeCell ref="AW232:AX232"/>
    <mergeCell ref="AY232:AZ232"/>
    <mergeCell ref="BA232:BC232"/>
    <mergeCell ref="BD232:BE232"/>
    <mergeCell ref="BN232:BP232"/>
    <mergeCell ref="AB232:AD232"/>
    <mergeCell ref="AG232:AI232"/>
    <mergeCell ref="AJ232:AK232"/>
    <mergeCell ref="AL232:AM232"/>
    <mergeCell ref="AN232:AO232"/>
    <mergeCell ref="AP232:AR232"/>
    <mergeCell ref="AY230:BQ230"/>
    <mergeCell ref="AY231:AZ231"/>
    <mergeCell ref="BA231:BC231"/>
    <mergeCell ref="BD231:BE231"/>
    <mergeCell ref="BN231:BP231"/>
    <mergeCell ref="A232:L232"/>
    <mergeCell ref="M232:O232"/>
    <mergeCell ref="P232:T232"/>
    <mergeCell ref="U232:W232"/>
    <mergeCell ref="X232:AA232"/>
    <mergeCell ref="AJ231:AK231"/>
    <mergeCell ref="AL231:AM231"/>
    <mergeCell ref="AN231:AO231"/>
    <mergeCell ref="AP231:AR231"/>
    <mergeCell ref="AT231:AV231"/>
    <mergeCell ref="AW231:AX231"/>
    <mergeCell ref="A228:BQ228"/>
    <mergeCell ref="A229:BQ229"/>
    <mergeCell ref="A230:L231"/>
    <mergeCell ref="M230:O231"/>
    <mergeCell ref="P230:T231"/>
    <mergeCell ref="U230:AX230"/>
    <mergeCell ref="U231:W231"/>
    <mergeCell ref="X231:AA231"/>
    <mergeCell ref="AB231:AD231"/>
    <mergeCell ref="AG231:AI231"/>
    <mergeCell ref="AT227:AV227"/>
    <mergeCell ref="AW227:AX227"/>
    <mergeCell ref="AY227:AZ227"/>
    <mergeCell ref="BA227:BC227"/>
    <mergeCell ref="BD227:BE227"/>
    <mergeCell ref="BN227:BP227"/>
    <mergeCell ref="AB227:AD227"/>
    <mergeCell ref="AG227:AI227"/>
    <mergeCell ref="AJ227:AK227"/>
    <mergeCell ref="AL227:AM227"/>
    <mergeCell ref="AN227:AO227"/>
    <mergeCell ref="AP227:AR227"/>
    <mergeCell ref="AW226:AX226"/>
    <mergeCell ref="AY226:AZ226"/>
    <mergeCell ref="BA226:BC226"/>
    <mergeCell ref="BD226:BE226"/>
    <mergeCell ref="BN226:BP226"/>
    <mergeCell ref="A227:L227"/>
    <mergeCell ref="M227:O227"/>
    <mergeCell ref="P227:T227"/>
    <mergeCell ref="U227:W227"/>
    <mergeCell ref="X227:AA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W222:AX222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T221:AV221"/>
    <mergeCell ref="AW221:AX221"/>
    <mergeCell ref="AY221:AZ221"/>
    <mergeCell ref="BA221:BC221"/>
    <mergeCell ref="BD221:BE221"/>
    <mergeCell ref="BN221:BP221"/>
    <mergeCell ref="AB221:AD221"/>
    <mergeCell ref="AG221:AI221"/>
    <mergeCell ref="AJ221:AK221"/>
    <mergeCell ref="AL221:AM221"/>
    <mergeCell ref="AN221:AO221"/>
    <mergeCell ref="AP221:AR221"/>
    <mergeCell ref="AW220:AX220"/>
    <mergeCell ref="AY220:AZ220"/>
    <mergeCell ref="BA220:BC220"/>
    <mergeCell ref="BD220:BE220"/>
    <mergeCell ref="BN220:BP220"/>
    <mergeCell ref="A221:L221"/>
    <mergeCell ref="M221:O221"/>
    <mergeCell ref="P221:T221"/>
    <mergeCell ref="U221:W221"/>
    <mergeCell ref="X221:AA221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T219:AV219"/>
    <mergeCell ref="AW219:AX219"/>
    <mergeCell ref="AY219:AZ219"/>
    <mergeCell ref="BA219:BC219"/>
    <mergeCell ref="BD219:BE219"/>
    <mergeCell ref="BN219:BP219"/>
    <mergeCell ref="AB219:AD219"/>
    <mergeCell ref="AG219:AI219"/>
    <mergeCell ref="AJ219:AK219"/>
    <mergeCell ref="AL219:AM219"/>
    <mergeCell ref="AN219:AO219"/>
    <mergeCell ref="AP219:AR219"/>
    <mergeCell ref="AW218:AX218"/>
    <mergeCell ref="AY218:AZ218"/>
    <mergeCell ref="BA218:BC218"/>
    <mergeCell ref="BD218:BE218"/>
    <mergeCell ref="BN218:BP218"/>
    <mergeCell ref="A219:L219"/>
    <mergeCell ref="M219:O219"/>
    <mergeCell ref="P219:T219"/>
    <mergeCell ref="U219:W219"/>
    <mergeCell ref="X219:AA219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T217:AV217"/>
    <mergeCell ref="AW217:AX217"/>
    <mergeCell ref="AY217:AZ217"/>
    <mergeCell ref="BA217:BC217"/>
    <mergeCell ref="BD217:BE217"/>
    <mergeCell ref="BN217:BP217"/>
    <mergeCell ref="AB217:AD217"/>
    <mergeCell ref="AG217:AI217"/>
    <mergeCell ref="AJ217:AK217"/>
    <mergeCell ref="AL217:AM217"/>
    <mergeCell ref="AN217:AO217"/>
    <mergeCell ref="AP217:AR217"/>
    <mergeCell ref="AW216:AX216"/>
    <mergeCell ref="AY216:AZ216"/>
    <mergeCell ref="BA216:BC216"/>
    <mergeCell ref="BD216:BE216"/>
    <mergeCell ref="BN216:BP216"/>
    <mergeCell ref="A217:L217"/>
    <mergeCell ref="M217:O217"/>
    <mergeCell ref="P217:T217"/>
    <mergeCell ref="U217:W217"/>
    <mergeCell ref="X217:AA217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T215:AV215"/>
    <mergeCell ref="AW215:AX215"/>
    <mergeCell ref="AY215:AZ215"/>
    <mergeCell ref="BA215:BC215"/>
    <mergeCell ref="BD215:BE215"/>
    <mergeCell ref="BN215:BP215"/>
    <mergeCell ref="AB215:AD215"/>
    <mergeCell ref="AG215:AI215"/>
    <mergeCell ref="AJ215:AK215"/>
    <mergeCell ref="AL215:AM215"/>
    <mergeCell ref="AN215:AO215"/>
    <mergeCell ref="AP215:AR215"/>
    <mergeCell ref="AW214:AX214"/>
    <mergeCell ref="AY214:AZ214"/>
    <mergeCell ref="BA214:BC214"/>
    <mergeCell ref="BD214:BE214"/>
    <mergeCell ref="BN214:BP214"/>
    <mergeCell ref="A215:L215"/>
    <mergeCell ref="M215:O215"/>
    <mergeCell ref="P215:T215"/>
    <mergeCell ref="U215:W215"/>
    <mergeCell ref="X215:AA215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T213:AV213"/>
    <mergeCell ref="AW213:AX213"/>
    <mergeCell ref="AY213:AZ213"/>
    <mergeCell ref="BA213:BC213"/>
    <mergeCell ref="BD213:BE213"/>
    <mergeCell ref="BN213:BP213"/>
    <mergeCell ref="AB213:AD213"/>
    <mergeCell ref="AG213:AI213"/>
    <mergeCell ref="AJ213:AK213"/>
    <mergeCell ref="AL213:AM213"/>
    <mergeCell ref="AN213:AO213"/>
    <mergeCell ref="AP213:AR213"/>
    <mergeCell ref="AW212:AX212"/>
    <mergeCell ref="AY212:AZ212"/>
    <mergeCell ref="BA212:BC212"/>
    <mergeCell ref="BD212:BE212"/>
    <mergeCell ref="BN212:BP212"/>
    <mergeCell ref="A213:L213"/>
    <mergeCell ref="M213:O213"/>
    <mergeCell ref="P213:T213"/>
    <mergeCell ref="U213:W213"/>
    <mergeCell ref="X213:AA213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T211:AV211"/>
    <mergeCell ref="AW211:AX211"/>
    <mergeCell ref="AY211:AZ211"/>
    <mergeCell ref="BA211:BC211"/>
    <mergeCell ref="BD211:BE211"/>
    <mergeCell ref="BN211:BP211"/>
    <mergeCell ref="AB211:AD211"/>
    <mergeCell ref="AG211:AI211"/>
    <mergeCell ref="AJ211:AK211"/>
    <mergeCell ref="AL211:AM211"/>
    <mergeCell ref="AN211:AO211"/>
    <mergeCell ref="AP211:AR211"/>
    <mergeCell ref="AW210:AX210"/>
    <mergeCell ref="AY210:AZ210"/>
    <mergeCell ref="BA210:BC210"/>
    <mergeCell ref="BD210:BE210"/>
    <mergeCell ref="BN210:BP210"/>
    <mergeCell ref="A211:L211"/>
    <mergeCell ref="M211:O211"/>
    <mergeCell ref="P211:T211"/>
    <mergeCell ref="U211:W211"/>
    <mergeCell ref="X211:AA211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T209:AV209"/>
    <mergeCell ref="AW209:AX209"/>
    <mergeCell ref="AY209:AZ209"/>
    <mergeCell ref="BA209:BC209"/>
    <mergeCell ref="BD209:BE209"/>
    <mergeCell ref="BN209:BP209"/>
    <mergeCell ref="AB209:AD209"/>
    <mergeCell ref="AG209:AI209"/>
    <mergeCell ref="AJ209:AK209"/>
    <mergeCell ref="AL209:AM209"/>
    <mergeCell ref="AN209:AO209"/>
    <mergeCell ref="AP209:AR209"/>
    <mergeCell ref="AW208:AX208"/>
    <mergeCell ref="AY208:AZ208"/>
    <mergeCell ref="BA208:BC208"/>
    <mergeCell ref="BD208:BE208"/>
    <mergeCell ref="BN208:BP208"/>
    <mergeCell ref="A209:L209"/>
    <mergeCell ref="M209:O209"/>
    <mergeCell ref="P209:T209"/>
    <mergeCell ref="U209:W209"/>
    <mergeCell ref="X209:AA209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T207:AV207"/>
    <mergeCell ref="AW207:AX207"/>
    <mergeCell ref="AY207:AZ207"/>
    <mergeCell ref="BA207:BC207"/>
    <mergeCell ref="BD207:BE207"/>
    <mergeCell ref="BN207:BP207"/>
    <mergeCell ref="AB207:AD207"/>
    <mergeCell ref="AG207:AI207"/>
    <mergeCell ref="AJ207:AK207"/>
    <mergeCell ref="AL207:AM207"/>
    <mergeCell ref="AN207:AO207"/>
    <mergeCell ref="AP207:AR207"/>
    <mergeCell ref="AW206:AX206"/>
    <mergeCell ref="AY206:AZ206"/>
    <mergeCell ref="BA206:BC206"/>
    <mergeCell ref="BD206:BE206"/>
    <mergeCell ref="BN206:BP206"/>
    <mergeCell ref="A207:L207"/>
    <mergeCell ref="M207:O207"/>
    <mergeCell ref="P207:T207"/>
    <mergeCell ref="U207:W207"/>
    <mergeCell ref="X207:AA207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T205:AV205"/>
    <mergeCell ref="AW205:AX205"/>
    <mergeCell ref="AY205:AZ205"/>
    <mergeCell ref="BA205:BC205"/>
    <mergeCell ref="BD205:BE205"/>
    <mergeCell ref="BN205:BP205"/>
    <mergeCell ref="AB205:AD205"/>
    <mergeCell ref="AG205:AI205"/>
    <mergeCell ref="AJ205:AK205"/>
    <mergeCell ref="AL205:AM205"/>
    <mergeCell ref="AN205:AO205"/>
    <mergeCell ref="AP205:AR205"/>
    <mergeCell ref="AW204:AX204"/>
    <mergeCell ref="AY204:AZ204"/>
    <mergeCell ref="BA204:BC204"/>
    <mergeCell ref="BD204:BE204"/>
    <mergeCell ref="BN204:BP204"/>
    <mergeCell ref="A205:L205"/>
    <mergeCell ref="M205:O205"/>
    <mergeCell ref="P205:T205"/>
    <mergeCell ref="U205:W205"/>
    <mergeCell ref="X205:AA205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T203:AV203"/>
    <mergeCell ref="AW203:AX203"/>
    <mergeCell ref="AY203:AZ203"/>
    <mergeCell ref="BA203:BC203"/>
    <mergeCell ref="BD203:BE203"/>
    <mergeCell ref="BN203:BP203"/>
    <mergeCell ref="AB203:AD203"/>
    <mergeCell ref="AG203:AI203"/>
    <mergeCell ref="AJ203:AK203"/>
    <mergeCell ref="AL203:AM203"/>
    <mergeCell ref="AN203:AO203"/>
    <mergeCell ref="AP203:AR203"/>
    <mergeCell ref="AW202:AX202"/>
    <mergeCell ref="AY202:AZ202"/>
    <mergeCell ref="BA202:BC202"/>
    <mergeCell ref="BD202:BE202"/>
    <mergeCell ref="BN202:BP202"/>
    <mergeCell ref="A203:L203"/>
    <mergeCell ref="M203:O203"/>
    <mergeCell ref="P203:T203"/>
    <mergeCell ref="U203:W203"/>
    <mergeCell ref="X203:AA203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T201:AV201"/>
    <mergeCell ref="AW201:AX201"/>
    <mergeCell ref="AY201:AZ201"/>
    <mergeCell ref="BA201:BC201"/>
    <mergeCell ref="BD201:BE201"/>
    <mergeCell ref="BN201:BP201"/>
    <mergeCell ref="AB201:AD201"/>
    <mergeCell ref="AG201:AI201"/>
    <mergeCell ref="AJ201:AK201"/>
    <mergeCell ref="AL201:AM201"/>
    <mergeCell ref="AN201:AO201"/>
    <mergeCell ref="AP201:AR201"/>
    <mergeCell ref="AW200:AX200"/>
    <mergeCell ref="AY200:AZ200"/>
    <mergeCell ref="BA200:BC200"/>
    <mergeCell ref="BD200:BE200"/>
    <mergeCell ref="BN200:BP200"/>
    <mergeCell ref="A201:L201"/>
    <mergeCell ref="M201:O201"/>
    <mergeCell ref="P201:T201"/>
    <mergeCell ref="U201:W201"/>
    <mergeCell ref="X201:AA201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T199:AV199"/>
    <mergeCell ref="AW199:AX199"/>
    <mergeCell ref="AY199:AZ199"/>
    <mergeCell ref="BA199:BC199"/>
    <mergeCell ref="BD199:BE199"/>
    <mergeCell ref="BN199:BP199"/>
    <mergeCell ref="AB199:AD199"/>
    <mergeCell ref="AG199:AI199"/>
    <mergeCell ref="AJ199:AK199"/>
    <mergeCell ref="AL199:AM199"/>
    <mergeCell ref="AN199:AO199"/>
    <mergeCell ref="AP199:AR199"/>
    <mergeCell ref="AW198:AX198"/>
    <mergeCell ref="AY198:AZ198"/>
    <mergeCell ref="BA198:BC198"/>
    <mergeCell ref="BD198:BE198"/>
    <mergeCell ref="BN198:BP198"/>
    <mergeCell ref="A199:L199"/>
    <mergeCell ref="M199:O199"/>
    <mergeCell ref="P199:T199"/>
    <mergeCell ref="U199:W199"/>
    <mergeCell ref="X199:AA199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T197:AV197"/>
    <mergeCell ref="AW197:AX197"/>
    <mergeCell ref="AY197:AZ197"/>
    <mergeCell ref="BA197:BC197"/>
    <mergeCell ref="BD197:BE197"/>
    <mergeCell ref="BN197:BP197"/>
    <mergeCell ref="AB197:AD197"/>
    <mergeCell ref="AG197:AI197"/>
    <mergeCell ref="AJ197:AK197"/>
    <mergeCell ref="AL197:AM197"/>
    <mergeCell ref="AN197:AO197"/>
    <mergeCell ref="AP197:AR197"/>
    <mergeCell ref="AW196:AX196"/>
    <mergeCell ref="AY196:AZ196"/>
    <mergeCell ref="BA196:BC196"/>
    <mergeCell ref="BD196:BE196"/>
    <mergeCell ref="BN196:BP196"/>
    <mergeCell ref="A197:L197"/>
    <mergeCell ref="M197:O197"/>
    <mergeCell ref="P197:T197"/>
    <mergeCell ref="U197:W197"/>
    <mergeCell ref="X197:AA197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T195:AV195"/>
    <mergeCell ref="AW195:AX195"/>
    <mergeCell ref="AY195:AZ195"/>
    <mergeCell ref="BA195:BC195"/>
    <mergeCell ref="BD195:BE195"/>
    <mergeCell ref="BN195:BP195"/>
    <mergeCell ref="AB195:AD195"/>
    <mergeCell ref="AG195:AI195"/>
    <mergeCell ref="AJ195:AK195"/>
    <mergeCell ref="AL195:AM195"/>
    <mergeCell ref="AN195:AO195"/>
    <mergeCell ref="AP195:AR195"/>
    <mergeCell ref="AW194:AX194"/>
    <mergeCell ref="AY194:AZ194"/>
    <mergeCell ref="BA194:BC194"/>
    <mergeCell ref="BD194:BE194"/>
    <mergeCell ref="BN194:BP194"/>
    <mergeCell ref="A195:L195"/>
    <mergeCell ref="M195:O195"/>
    <mergeCell ref="P195:T195"/>
    <mergeCell ref="U195:W195"/>
    <mergeCell ref="X195:AA195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T193:AV193"/>
    <mergeCell ref="AW193:AX193"/>
    <mergeCell ref="AY193:AZ193"/>
    <mergeCell ref="BA193:BC193"/>
    <mergeCell ref="BD193:BE193"/>
    <mergeCell ref="BN193:BP193"/>
    <mergeCell ref="AB193:AD193"/>
    <mergeCell ref="AG193:AI193"/>
    <mergeCell ref="AJ193:AK193"/>
    <mergeCell ref="AL193:AM193"/>
    <mergeCell ref="AN193:AO193"/>
    <mergeCell ref="AP193:AR193"/>
    <mergeCell ref="AW192:AX192"/>
    <mergeCell ref="AY192:AZ192"/>
    <mergeCell ref="BA192:BC192"/>
    <mergeCell ref="BD192:BE192"/>
    <mergeCell ref="BN192:BP192"/>
    <mergeCell ref="A193:L193"/>
    <mergeCell ref="M193:O193"/>
    <mergeCell ref="P193:T193"/>
    <mergeCell ref="U193:W193"/>
    <mergeCell ref="X193:AA193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T191:AV191"/>
    <mergeCell ref="AW191:AX191"/>
    <mergeCell ref="AY191:AZ191"/>
    <mergeCell ref="BA191:BC191"/>
    <mergeCell ref="BD191:BE191"/>
    <mergeCell ref="BN191:BP191"/>
    <mergeCell ref="AB191:AD191"/>
    <mergeCell ref="AG191:AI191"/>
    <mergeCell ref="AJ191:AK191"/>
    <mergeCell ref="AL191:AM191"/>
    <mergeCell ref="AN191:AO191"/>
    <mergeCell ref="AP191:AR191"/>
    <mergeCell ref="AW190:AX190"/>
    <mergeCell ref="AY190:AZ190"/>
    <mergeCell ref="BA190:BC190"/>
    <mergeCell ref="BD190:BE190"/>
    <mergeCell ref="BN190:BP190"/>
    <mergeCell ref="A191:L191"/>
    <mergeCell ref="M191:O191"/>
    <mergeCell ref="P191:T191"/>
    <mergeCell ref="U191:W191"/>
    <mergeCell ref="X191:AA191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T189:AV189"/>
    <mergeCell ref="AW189:AX189"/>
    <mergeCell ref="AY189:AZ189"/>
    <mergeCell ref="BA189:BC189"/>
    <mergeCell ref="BD189:BE189"/>
    <mergeCell ref="BN189:BP189"/>
    <mergeCell ref="AB189:AD189"/>
    <mergeCell ref="AG189:AI189"/>
    <mergeCell ref="AJ189:AK189"/>
    <mergeCell ref="AL189:AM189"/>
    <mergeCell ref="AN189:AO189"/>
    <mergeCell ref="AP189:AR189"/>
    <mergeCell ref="AW188:AX188"/>
    <mergeCell ref="AY188:AZ188"/>
    <mergeCell ref="BA188:BC188"/>
    <mergeCell ref="BD188:BE188"/>
    <mergeCell ref="BN188:BP188"/>
    <mergeCell ref="A189:L189"/>
    <mergeCell ref="M189:O189"/>
    <mergeCell ref="P189:T189"/>
    <mergeCell ref="U189:W189"/>
    <mergeCell ref="X189:AA189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T187:AV187"/>
    <mergeCell ref="AW187:AX187"/>
    <mergeCell ref="AY187:AZ187"/>
    <mergeCell ref="BA187:BC187"/>
    <mergeCell ref="BD187:BE187"/>
    <mergeCell ref="BN187:BP187"/>
    <mergeCell ref="AB187:AD187"/>
    <mergeCell ref="AG187:AI187"/>
    <mergeCell ref="AJ187:AK187"/>
    <mergeCell ref="AL187:AM187"/>
    <mergeCell ref="AN187:AO187"/>
    <mergeCell ref="AP187:AR187"/>
    <mergeCell ref="AW186:AX186"/>
    <mergeCell ref="AY186:AZ186"/>
    <mergeCell ref="BA186:BC186"/>
    <mergeCell ref="BD186:BE186"/>
    <mergeCell ref="BN186:BP186"/>
    <mergeCell ref="A187:L187"/>
    <mergeCell ref="M187:O187"/>
    <mergeCell ref="P187:T187"/>
    <mergeCell ref="U187:W187"/>
    <mergeCell ref="X187:AA187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T185:AV185"/>
    <mergeCell ref="AW185:AX185"/>
    <mergeCell ref="AY185:AZ185"/>
    <mergeCell ref="BA185:BC185"/>
    <mergeCell ref="BD185:BE185"/>
    <mergeCell ref="BN185:BP185"/>
    <mergeCell ref="AB185:AD185"/>
    <mergeCell ref="AG185:AI185"/>
    <mergeCell ref="AJ185:AK185"/>
    <mergeCell ref="AL185:AM185"/>
    <mergeCell ref="AN185:AO185"/>
    <mergeCell ref="AP185:AR185"/>
    <mergeCell ref="AW184:AX184"/>
    <mergeCell ref="AY184:AZ184"/>
    <mergeCell ref="BA184:BC184"/>
    <mergeCell ref="BD184:BE184"/>
    <mergeCell ref="BN184:BP184"/>
    <mergeCell ref="A185:L185"/>
    <mergeCell ref="M185:O185"/>
    <mergeCell ref="P185:T185"/>
    <mergeCell ref="U185:W185"/>
    <mergeCell ref="X185:AA185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T183:AV183"/>
    <mergeCell ref="AW183:AX183"/>
    <mergeCell ref="AY183:AZ183"/>
    <mergeCell ref="BA183:BC183"/>
    <mergeCell ref="BD183:BE183"/>
    <mergeCell ref="BN183:BP183"/>
    <mergeCell ref="AB183:AD183"/>
    <mergeCell ref="AG183:AI183"/>
    <mergeCell ref="AJ183:AK183"/>
    <mergeCell ref="AL183:AM183"/>
    <mergeCell ref="AN183:AO183"/>
    <mergeCell ref="AP183:AR183"/>
    <mergeCell ref="AW182:AX182"/>
    <mergeCell ref="AY182:AZ182"/>
    <mergeCell ref="BA182:BC182"/>
    <mergeCell ref="BD182:BE182"/>
    <mergeCell ref="BN182:BP182"/>
    <mergeCell ref="A183:L183"/>
    <mergeCell ref="M183:O183"/>
    <mergeCell ref="P183:T183"/>
    <mergeCell ref="U183:W183"/>
    <mergeCell ref="X183:AA183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T181:AV181"/>
    <mergeCell ref="AW181:AX181"/>
    <mergeCell ref="AY181:AZ181"/>
    <mergeCell ref="BA181:BC181"/>
    <mergeCell ref="BD181:BE181"/>
    <mergeCell ref="BN181:BP181"/>
    <mergeCell ref="AB181:AD181"/>
    <mergeCell ref="AG181:AI181"/>
    <mergeCell ref="AJ181:AK181"/>
    <mergeCell ref="AL181:AM181"/>
    <mergeCell ref="AN181:AO181"/>
    <mergeCell ref="AP181:AR181"/>
    <mergeCell ref="AW180:AX180"/>
    <mergeCell ref="AY180:AZ180"/>
    <mergeCell ref="BA180:BC180"/>
    <mergeCell ref="BD180:BE180"/>
    <mergeCell ref="BN180:BP180"/>
    <mergeCell ref="A181:L181"/>
    <mergeCell ref="M181:O181"/>
    <mergeCell ref="P181:T181"/>
    <mergeCell ref="U181:W181"/>
    <mergeCell ref="X181:AA181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T179:AV179"/>
    <mergeCell ref="AW179:AX179"/>
    <mergeCell ref="AY179:AZ179"/>
    <mergeCell ref="BA179:BC179"/>
    <mergeCell ref="BD179:BE179"/>
    <mergeCell ref="BN179:BP179"/>
    <mergeCell ref="AB179:AD179"/>
    <mergeCell ref="AG179:AI179"/>
    <mergeCell ref="AJ179:AK179"/>
    <mergeCell ref="AL179:AM179"/>
    <mergeCell ref="AN179:AO179"/>
    <mergeCell ref="AP179:AR179"/>
    <mergeCell ref="AW178:AX178"/>
    <mergeCell ref="AY178:AZ178"/>
    <mergeCell ref="BA178:BC178"/>
    <mergeCell ref="BD178:BE178"/>
    <mergeCell ref="BN178:BP178"/>
    <mergeCell ref="A179:L179"/>
    <mergeCell ref="M179:O179"/>
    <mergeCell ref="P179:T179"/>
    <mergeCell ref="U179:W179"/>
    <mergeCell ref="X179:AA179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T177:AV177"/>
    <mergeCell ref="AW177:AX177"/>
    <mergeCell ref="AY177:AZ177"/>
    <mergeCell ref="BA177:BC177"/>
    <mergeCell ref="BD177:BE177"/>
    <mergeCell ref="BN177:BP177"/>
    <mergeCell ref="AB177:AD177"/>
    <mergeCell ref="AG177:AI177"/>
    <mergeCell ref="AJ177:AK177"/>
    <mergeCell ref="AL177:AM177"/>
    <mergeCell ref="AN177:AO177"/>
    <mergeCell ref="AP177:AR177"/>
    <mergeCell ref="AW176:AX176"/>
    <mergeCell ref="AY176:AZ176"/>
    <mergeCell ref="BA176:BC176"/>
    <mergeCell ref="BD176:BE176"/>
    <mergeCell ref="BN176:BP176"/>
    <mergeCell ref="A177:L177"/>
    <mergeCell ref="M177:O177"/>
    <mergeCell ref="P177:T177"/>
    <mergeCell ref="U177:W177"/>
    <mergeCell ref="X177:AA177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T175:AV175"/>
    <mergeCell ref="AW175:AX175"/>
    <mergeCell ref="AY175:AZ175"/>
    <mergeCell ref="BA175:BC175"/>
    <mergeCell ref="BD175:BE175"/>
    <mergeCell ref="BN175:BP175"/>
    <mergeCell ref="AB175:AD175"/>
    <mergeCell ref="AG175:AI175"/>
    <mergeCell ref="AJ175:AK175"/>
    <mergeCell ref="AL175:AM175"/>
    <mergeCell ref="AN175:AO175"/>
    <mergeCell ref="AP175:AR175"/>
    <mergeCell ref="AW174:AX174"/>
    <mergeCell ref="AY174:AZ174"/>
    <mergeCell ref="BA174:BC174"/>
    <mergeCell ref="BD174:BE174"/>
    <mergeCell ref="BN174:BP174"/>
    <mergeCell ref="A175:L175"/>
    <mergeCell ref="M175:O175"/>
    <mergeCell ref="P175:T175"/>
    <mergeCell ref="U175:W175"/>
    <mergeCell ref="X175:AA175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T173:AV173"/>
    <mergeCell ref="AW173:AX173"/>
    <mergeCell ref="AY173:AZ173"/>
    <mergeCell ref="BA173:BC173"/>
    <mergeCell ref="BD173:BE173"/>
    <mergeCell ref="BN173:BP173"/>
    <mergeCell ref="AB173:AD173"/>
    <mergeCell ref="AG173:AI173"/>
    <mergeCell ref="AJ173:AK173"/>
    <mergeCell ref="AL173:AM173"/>
    <mergeCell ref="AN173:AO173"/>
    <mergeCell ref="AP173:AR173"/>
    <mergeCell ref="AW172:AX172"/>
    <mergeCell ref="AY172:AZ172"/>
    <mergeCell ref="BA172:BC172"/>
    <mergeCell ref="BD172:BE172"/>
    <mergeCell ref="BN172:BP172"/>
    <mergeCell ref="A173:L173"/>
    <mergeCell ref="M173:O173"/>
    <mergeCell ref="P173:T173"/>
    <mergeCell ref="U173:W173"/>
    <mergeCell ref="X173:AA173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T171:AV171"/>
    <mergeCell ref="AW171:AX171"/>
    <mergeCell ref="AY171:AZ171"/>
    <mergeCell ref="BA171:BC171"/>
    <mergeCell ref="BD171:BE171"/>
    <mergeCell ref="BN171:BP171"/>
    <mergeCell ref="AB171:AD171"/>
    <mergeCell ref="AG171:AI171"/>
    <mergeCell ref="AJ171:AK171"/>
    <mergeCell ref="AL171:AM171"/>
    <mergeCell ref="AN171:AO171"/>
    <mergeCell ref="AP171:AR171"/>
    <mergeCell ref="AW170:AX170"/>
    <mergeCell ref="AY170:AZ170"/>
    <mergeCell ref="BA170:BC170"/>
    <mergeCell ref="BD170:BE170"/>
    <mergeCell ref="BN170:BP170"/>
    <mergeCell ref="A171:L171"/>
    <mergeCell ref="M171:O171"/>
    <mergeCell ref="P171:T171"/>
    <mergeCell ref="U171:W171"/>
    <mergeCell ref="X171:AA171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T169:AV169"/>
    <mergeCell ref="AW169:AX169"/>
    <mergeCell ref="AY169:AZ169"/>
    <mergeCell ref="BA169:BC169"/>
    <mergeCell ref="BD169:BE169"/>
    <mergeCell ref="BN169:BP169"/>
    <mergeCell ref="AB169:AD169"/>
    <mergeCell ref="AG169:AI169"/>
    <mergeCell ref="AJ169:AK169"/>
    <mergeCell ref="AL169:AM169"/>
    <mergeCell ref="AN169:AO169"/>
    <mergeCell ref="AP169:AR169"/>
    <mergeCell ref="AW168:AX168"/>
    <mergeCell ref="AY168:AZ168"/>
    <mergeCell ref="BA168:BC168"/>
    <mergeCell ref="BD168:BE168"/>
    <mergeCell ref="BN168:BP168"/>
    <mergeCell ref="A169:L169"/>
    <mergeCell ref="M169:O169"/>
    <mergeCell ref="P169:T169"/>
    <mergeCell ref="U169:W169"/>
    <mergeCell ref="X169:AA169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T167:AV167"/>
    <mergeCell ref="AW167:AX167"/>
    <mergeCell ref="AY167:AZ167"/>
    <mergeCell ref="BA167:BC167"/>
    <mergeCell ref="BD167:BE167"/>
    <mergeCell ref="BN167:BP167"/>
    <mergeCell ref="AB167:AD167"/>
    <mergeCell ref="AG167:AI167"/>
    <mergeCell ref="AJ167:AK167"/>
    <mergeCell ref="AL167:AM167"/>
    <mergeCell ref="AN167:AO167"/>
    <mergeCell ref="AP167:AR167"/>
    <mergeCell ref="AW166:AX166"/>
    <mergeCell ref="AY166:AZ166"/>
    <mergeCell ref="BA166:BC166"/>
    <mergeCell ref="BD166:BE166"/>
    <mergeCell ref="BN166:BP166"/>
    <mergeCell ref="A167:L167"/>
    <mergeCell ref="M167:O167"/>
    <mergeCell ref="P167:T167"/>
    <mergeCell ref="U167:W167"/>
    <mergeCell ref="X167:AA167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T165:AV165"/>
    <mergeCell ref="AW165:AX165"/>
    <mergeCell ref="AY165:AZ165"/>
    <mergeCell ref="BA165:BC165"/>
    <mergeCell ref="BD165:BE165"/>
    <mergeCell ref="BN165:BP165"/>
    <mergeCell ref="AB165:AD165"/>
    <mergeCell ref="AG165:AI165"/>
    <mergeCell ref="AJ165:AK165"/>
    <mergeCell ref="AL165:AM165"/>
    <mergeCell ref="AN165:AO165"/>
    <mergeCell ref="AP165:AR165"/>
    <mergeCell ref="AW164:AX164"/>
    <mergeCell ref="AY164:AZ164"/>
    <mergeCell ref="BA164:BC164"/>
    <mergeCell ref="BD164:BE164"/>
    <mergeCell ref="BN164:BP164"/>
    <mergeCell ref="A165:L165"/>
    <mergeCell ref="M165:O165"/>
    <mergeCell ref="P165:T165"/>
    <mergeCell ref="U165:W165"/>
    <mergeCell ref="X165:AA165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T163:AV163"/>
    <mergeCell ref="AW163:AX163"/>
    <mergeCell ref="AY163:AZ163"/>
    <mergeCell ref="BA163:BC163"/>
    <mergeCell ref="BD163:BE163"/>
    <mergeCell ref="BN163:BP163"/>
    <mergeCell ref="AB163:AD163"/>
    <mergeCell ref="AG163:AI163"/>
    <mergeCell ref="AJ163:AK163"/>
    <mergeCell ref="AL163:AM163"/>
    <mergeCell ref="AN163:AO163"/>
    <mergeCell ref="AP163:AR163"/>
    <mergeCell ref="AW162:AX162"/>
    <mergeCell ref="AY162:AZ162"/>
    <mergeCell ref="BA162:BC162"/>
    <mergeCell ref="BD162:BE162"/>
    <mergeCell ref="BN162:BP162"/>
    <mergeCell ref="A163:L163"/>
    <mergeCell ref="M163:O163"/>
    <mergeCell ref="P163:T163"/>
    <mergeCell ref="U163:W163"/>
    <mergeCell ref="X163:AA163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T161:AV161"/>
    <mergeCell ref="AW161:AX161"/>
    <mergeCell ref="AY161:AZ161"/>
    <mergeCell ref="BA161:BC161"/>
    <mergeCell ref="BD161:BE161"/>
    <mergeCell ref="BN161:BP161"/>
    <mergeCell ref="AB161:AD161"/>
    <mergeCell ref="AG161:AI161"/>
    <mergeCell ref="AJ161:AK161"/>
    <mergeCell ref="AL161:AM161"/>
    <mergeCell ref="AN161:AO161"/>
    <mergeCell ref="AP161:AR161"/>
    <mergeCell ref="AW160:AX160"/>
    <mergeCell ref="AY160:AZ160"/>
    <mergeCell ref="BA160:BC160"/>
    <mergeCell ref="BD160:BE160"/>
    <mergeCell ref="BN160:BP160"/>
    <mergeCell ref="A161:L161"/>
    <mergeCell ref="M161:O161"/>
    <mergeCell ref="P161:T161"/>
    <mergeCell ref="U161:W161"/>
    <mergeCell ref="X161:AA161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T159:AV159"/>
    <mergeCell ref="AW159:AX159"/>
    <mergeCell ref="AY159:AZ159"/>
    <mergeCell ref="BA159:BC159"/>
    <mergeCell ref="BD159:BE159"/>
    <mergeCell ref="BN159:BP159"/>
    <mergeCell ref="AB159:AD159"/>
    <mergeCell ref="AG159:AI159"/>
    <mergeCell ref="AJ159:AK159"/>
    <mergeCell ref="AL159:AM159"/>
    <mergeCell ref="AN159:AO159"/>
    <mergeCell ref="AP159:AR159"/>
    <mergeCell ref="AW158:AX158"/>
    <mergeCell ref="AY158:AZ158"/>
    <mergeCell ref="BA158:BC158"/>
    <mergeCell ref="BD158:BE158"/>
    <mergeCell ref="BN158:BP158"/>
    <mergeCell ref="A159:L159"/>
    <mergeCell ref="M159:O159"/>
    <mergeCell ref="P159:T159"/>
    <mergeCell ref="U159:W159"/>
    <mergeCell ref="X159:AA159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T157:AV157"/>
    <mergeCell ref="AW157:AX157"/>
    <mergeCell ref="AY157:AZ157"/>
    <mergeCell ref="BA157:BC157"/>
    <mergeCell ref="BD157:BE157"/>
    <mergeCell ref="BN157:BP157"/>
    <mergeCell ref="AB157:AD157"/>
    <mergeCell ref="AG157:AI157"/>
    <mergeCell ref="AJ157:AK157"/>
    <mergeCell ref="AL157:AM157"/>
    <mergeCell ref="AN157:AO157"/>
    <mergeCell ref="AP157:AR157"/>
    <mergeCell ref="AW156:AX156"/>
    <mergeCell ref="AY156:AZ156"/>
    <mergeCell ref="BA156:BC156"/>
    <mergeCell ref="BD156:BE156"/>
    <mergeCell ref="BN156:BP156"/>
    <mergeCell ref="A157:L157"/>
    <mergeCell ref="M157:O157"/>
    <mergeCell ref="P157:T157"/>
    <mergeCell ref="U157:W157"/>
    <mergeCell ref="X157:AA157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T155:AV155"/>
    <mergeCell ref="AW155:AX155"/>
    <mergeCell ref="AY155:AZ155"/>
    <mergeCell ref="BA155:BC155"/>
    <mergeCell ref="BD155:BE155"/>
    <mergeCell ref="BN155:BP155"/>
    <mergeCell ref="AB155:AD155"/>
    <mergeCell ref="AG155:AI155"/>
    <mergeCell ref="AJ155:AK155"/>
    <mergeCell ref="AL155:AM155"/>
    <mergeCell ref="AN155:AO155"/>
    <mergeCell ref="AP155:AR155"/>
    <mergeCell ref="AW154:AX154"/>
    <mergeCell ref="AY154:AZ154"/>
    <mergeCell ref="BA154:BC154"/>
    <mergeCell ref="BD154:BE154"/>
    <mergeCell ref="BN154:BP154"/>
    <mergeCell ref="A155:L155"/>
    <mergeCell ref="M155:O155"/>
    <mergeCell ref="P155:T155"/>
    <mergeCell ref="U155:W155"/>
    <mergeCell ref="X155:AA155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T153:AV153"/>
    <mergeCell ref="AW153:AX153"/>
    <mergeCell ref="AY153:AZ153"/>
    <mergeCell ref="BA153:BC153"/>
    <mergeCell ref="BD153:BE153"/>
    <mergeCell ref="BN153:BP153"/>
    <mergeCell ref="AB153:AD153"/>
    <mergeCell ref="AG153:AI153"/>
    <mergeCell ref="AJ153:AK153"/>
    <mergeCell ref="AL153:AM153"/>
    <mergeCell ref="AN153:AO153"/>
    <mergeCell ref="AP153:AR153"/>
    <mergeCell ref="AW152:AX152"/>
    <mergeCell ref="AY152:AZ152"/>
    <mergeCell ref="BA152:BC152"/>
    <mergeCell ref="BD152:BE152"/>
    <mergeCell ref="BN152:BP152"/>
    <mergeCell ref="A153:L153"/>
    <mergeCell ref="M153:O153"/>
    <mergeCell ref="P153:T153"/>
    <mergeCell ref="U153:W153"/>
    <mergeCell ref="X153:AA153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T151:AV151"/>
    <mergeCell ref="AW151:AX151"/>
    <mergeCell ref="AY151:AZ151"/>
    <mergeCell ref="BA151:BC151"/>
    <mergeCell ref="BD151:BE151"/>
    <mergeCell ref="BN151:BP151"/>
    <mergeCell ref="AB151:AD151"/>
    <mergeCell ref="AG151:AI151"/>
    <mergeCell ref="AJ151:AK151"/>
    <mergeCell ref="AL151:AM151"/>
    <mergeCell ref="AN151:AO151"/>
    <mergeCell ref="AP151:AR151"/>
    <mergeCell ref="AW150:AX150"/>
    <mergeCell ref="AY150:AZ150"/>
    <mergeCell ref="BA150:BC150"/>
    <mergeCell ref="BD150:BE150"/>
    <mergeCell ref="BN150:BP150"/>
    <mergeCell ref="A151:L151"/>
    <mergeCell ref="M151:O151"/>
    <mergeCell ref="P151:T151"/>
    <mergeCell ref="U151:W151"/>
    <mergeCell ref="X151:AA151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T149:AV149"/>
    <mergeCell ref="AW149:AX149"/>
    <mergeCell ref="AY149:AZ149"/>
    <mergeCell ref="BA149:BC149"/>
    <mergeCell ref="BD149:BE149"/>
    <mergeCell ref="BN149:BP149"/>
    <mergeCell ref="AB149:AD149"/>
    <mergeCell ref="AG149:AI149"/>
    <mergeCell ref="AJ149:AK149"/>
    <mergeCell ref="AL149:AM149"/>
    <mergeCell ref="AN149:AO149"/>
    <mergeCell ref="AP149:AR149"/>
    <mergeCell ref="AW148:AX148"/>
    <mergeCell ref="AY148:AZ148"/>
    <mergeCell ref="BA148:BC148"/>
    <mergeCell ref="BD148:BE148"/>
    <mergeCell ref="BN148:BP148"/>
    <mergeCell ref="A149:L149"/>
    <mergeCell ref="M149:O149"/>
    <mergeCell ref="P149:T149"/>
    <mergeCell ref="U149:W149"/>
    <mergeCell ref="X149:AA149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T147:AV147"/>
    <mergeCell ref="AW147:AX147"/>
    <mergeCell ref="AY147:AZ147"/>
    <mergeCell ref="BA147:BC147"/>
    <mergeCell ref="BD147:BE147"/>
    <mergeCell ref="BN147:BP147"/>
    <mergeCell ref="AB147:AD147"/>
    <mergeCell ref="AG147:AI147"/>
    <mergeCell ref="AJ147:AK147"/>
    <mergeCell ref="AL147:AM147"/>
    <mergeCell ref="AN147:AO147"/>
    <mergeCell ref="AP147:AR147"/>
    <mergeCell ref="AW146:AX146"/>
    <mergeCell ref="AY146:AZ146"/>
    <mergeCell ref="BA146:BC146"/>
    <mergeCell ref="BD146:BE146"/>
    <mergeCell ref="BN146:BP146"/>
    <mergeCell ref="A147:L147"/>
    <mergeCell ref="M147:O147"/>
    <mergeCell ref="P147:T147"/>
    <mergeCell ref="U147:W147"/>
    <mergeCell ref="X147:AA147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T145:AV145"/>
    <mergeCell ref="AW145:AX145"/>
    <mergeCell ref="AY145:AZ145"/>
    <mergeCell ref="BA145:BC145"/>
    <mergeCell ref="BD145:BE145"/>
    <mergeCell ref="BN145:BP145"/>
    <mergeCell ref="AB145:AD145"/>
    <mergeCell ref="AG145:AI145"/>
    <mergeCell ref="AJ145:AK145"/>
    <mergeCell ref="AL145:AM145"/>
    <mergeCell ref="AN145:AO145"/>
    <mergeCell ref="AP145:AR145"/>
    <mergeCell ref="AW144:AX144"/>
    <mergeCell ref="AY144:AZ144"/>
    <mergeCell ref="BA144:BC144"/>
    <mergeCell ref="BD144:BE144"/>
    <mergeCell ref="BN144:BP144"/>
    <mergeCell ref="A145:L145"/>
    <mergeCell ref="M145:O145"/>
    <mergeCell ref="P145:T145"/>
    <mergeCell ref="U145:W145"/>
    <mergeCell ref="X145:AA145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T143:AV143"/>
    <mergeCell ref="AW143:AX143"/>
    <mergeCell ref="AY143:AZ143"/>
    <mergeCell ref="BA143:BC143"/>
    <mergeCell ref="BD143:BE143"/>
    <mergeCell ref="BN143:BP143"/>
    <mergeCell ref="AB143:AD143"/>
    <mergeCell ref="AG143:AI143"/>
    <mergeCell ref="AJ143:AK143"/>
    <mergeCell ref="AL143:AM143"/>
    <mergeCell ref="AN143:AO143"/>
    <mergeCell ref="AP143:AR143"/>
    <mergeCell ref="AW142:AX142"/>
    <mergeCell ref="AY142:AZ142"/>
    <mergeCell ref="BA142:BC142"/>
    <mergeCell ref="BD142:BE142"/>
    <mergeCell ref="BN142:BP142"/>
    <mergeCell ref="A143:L143"/>
    <mergeCell ref="M143:O143"/>
    <mergeCell ref="P143:T143"/>
    <mergeCell ref="U143:W143"/>
    <mergeCell ref="X143:AA143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T141:AV141"/>
    <mergeCell ref="AW141:AX141"/>
    <mergeCell ref="AY141:AZ141"/>
    <mergeCell ref="BA141:BC141"/>
    <mergeCell ref="BD141:BE141"/>
    <mergeCell ref="BN141:BP141"/>
    <mergeCell ref="AB141:AD141"/>
    <mergeCell ref="AG141:AI141"/>
    <mergeCell ref="AJ141:AK141"/>
    <mergeCell ref="AL141:AM141"/>
    <mergeCell ref="AN141:AO141"/>
    <mergeCell ref="AP141:AR141"/>
    <mergeCell ref="AW140:AX140"/>
    <mergeCell ref="AY140:AZ140"/>
    <mergeCell ref="BA140:BC140"/>
    <mergeCell ref="BD140:BE140"/>
    <mergeCell ref="BN140:BP140"/>
    <mergeCell ref="A141:L141"/>
    <mergeCell ref="M141:O141"/>
    <mergeCell ref="P141:T141"/>
    <mergeCell ref="U141:W141"/>
    <mergeCell ref="X141:AA141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T139:AV139"/>
    <mergeCell ref="AW139:AX139"/>
    <mergeCell ref="AY139:AZ139"/>
    <mergeCell ref="BA139:BC139"/>
    <mergeCell ref="BD139:BE139"/>
    <mergeCell ref="BN139:BP139"/>
    <mergeCell ref="AB139:AD139"/>
    <mergeCell ref="AG139:AI139"/>
    <mergeCell ref="AJ139:AK139"/>
    <mergeCell ref="AL139:AM139"/>
    <mergeCell ref="AN139:AO139"/>
    <mergeCell ref="AP139:AR139"/>
    <mergeCell ref="AW138:AX138"/>
    <mergeCell ref="AY138:AZ138"/>
    <mergeCell ref="BA138:BC138"/>
    <mergeCell ref="BD138:BE138"/>
    <mergeCell ref="BN138:BP138"/>
    <mergeCell ref="A139:L139"/>
    <mergeCell ref="M139:O139"/>
    <mergeCell ref="P139:T139"/>
    <mergeCell ref="U139:W139"/>
    <mergeCell ref="X139:AA139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T137:AV137"/>
    <mergeCell ref="AW137:AX137"/>
    <mergeCell ref="AY137:AZ137"/>
    <mergeCell ref="BA137:BC137"/>
    <mergeCell ref="BD137:BE137"/>
    <mergeCell ref="BN137:BP137"/>
    <mergeCell ref="AB137:AD137"/>
    <mergeCell ref="AG137:AI137"/>
    <mergeCell ref="AJ137:AK137"/>
    <mergeCell ref="AL137:AM137"/>
    <mergeCell ref="AN137:AO137"/>
    <mergeCell ref="AP137:AR137"/>
    <mergeCell ref="AW136:AX136"/>
    <mergeCell ref="AY136:AZ136"/>
    <mergeCell ref="BA136:BC136"/>
    <mergeCell ref="BD136:BE136"/>
    <mergeCell ref="BN136:BP136"/>
    <mergeCell ref="A137:L137"/>
    <mergeCell ref="M137:O137"/>
    <mergeCell ref="P137:T137"/>
    <mergeCell ref="U137:W137"/>
    <mergeCell ref="X137:AA137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T135:AV135"/>
    <mergeCell ref="AW135:AX135"/>
    <mergeCell ref="AY135:AZ135"/>
    <mergeCell ref="BA135:BC135"/>
    <mergeCell ref="BD135:BE135"/>
    <mergeCell ref="BN135:BP135"/>
    <mergeCell ref="AB135:AD135"/>
    <mergeCell ref="AG135:AI135"/>
    <mergeCell ref="AJ135:AK135"/>
    <mergeCell ref="AL135:AM135"/>
    <mergeCell ref="AN135:AO135"/>
    <mergeCell ref="AP135:AR135"/>
    <mergeCell ref="AW134:AX134"/>
    <mergeCell ref="AY134:AZ134"/>
    <mergeCell ref="BA134:BC134"/>
    <mergeCell ref="BD134:BE134"/>
    <mergeCell ref="BN134:BP134"/>
    <mergeCell ref="A135:L135"/>
    <mergeCell ref="M135:O135"/>
    <mergeCell ref="P135:T135"/>
    <mergeCell ref="U135:W135"/>
    <mergeCell ref="X135:AA135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T133:AV133"/>
    <mergeCell ref="AW133:AX133"/>
    <mergeCell ref="AY133:AZ133"/>
    <mergeCell ref="BA133:BC133"/>
    <mergeCell ref="BD133:BE133"/>
    <mergeCell ref="BN133:BP133"/>
    <mergeCell ref="AB133:AD133"/>
    <mergeCell ref="AG133:AI133"/>
    <mergeCell ref="AJ133:AK133"/>
    <mergeCell ref="AL133:AM133"/>
    <mergeCell ref="AN133:AO133"/>
    <mergeCell ref="AP133:AR133"/>
    <mergeCell ref="AW132:AX132"/>
    <mergeCell ref="AY132:AZ132"/>
    <mergeCell ref="BA132:BC132"/>
    <mergeCell ref="BD132:BE132"/>
    <mergeCell ref="BN132:BP132"/>
    <mergeCell ref="A133:L133"/>
    <mergeCell ref="M133:O133"/>
    <mergeCell ref="P133:T133"/>
    <mergeCell ref="U133:W133"/>
    <mergeCell ref="X133:AA133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T131:AV131"/>
    <mergeCell ref="AW131:AX131"/>
    <mergeCell ref="AY131:AZ131"/>
    <mergeCell ref="BA131:BC131"/>
    <mergeCell ref="BD131:BE131"/>
    <mergeCell ref="BN131:BP131"/>
    <mergeCell ref="AB131:AD131"/>
    <mergeCell ref="AG131:AI131"/>
    <mergeCell ref="AJ131:AK131"/>
    <mergeCell ref="AL131:AM131"/>
    <mergeCell ref="AN131:AO131"/>
    <mergeCell ref="AP131:AR131"/>
    <mergeCell ref="AW130:AX130"/>
    <mergeCell ref="AY130:AZ130"/>
    <mergeCell ref="BA130:BC130"/>
    <mergeCell ref="BD130:BE130"/>
    <mergeCell ref="BN130:BP130"/>
    <mergeCell ref="A131:L131"/>
    <mergeCell ref="M131:O131"/>
    <mergeCell ref="P131:T131"/>
    <mergeCell ref="U131:W131"/>
    <mergeCell ref="X131:AA131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T129:AV129"/>
    <mergeCell ref="AW129:AX129"/>
    <mergeCell ref="AY129:AZ129"/>
    <mergeCell ref="BA129:BC129"/>
    <mergeCell ref="BD129:BE129"/>
    <mergeCell ref="BN129:BP129"/>
    <mergeCell ref="AB129:AD129"/>
    <mergeCell ref="AG129:AI129"/>
    <mergeCell ref="AJ129:AK129"/>
    <mergeCell ref="AL129:AM129"/>
    <mergeCell ref="AN129:AO129"/>
    <mergeCell ref="AP129:AR129"/>
    <mergeCell ref="AW128:AX128"/>
    <mergeCell ref="AY128:AZ128"/>
    <mergeCell ref="BA128:BC128"/>
    <mergeCell ref="BD128:BE128"/>
    <mergeCell ref="BN128:BP128"/>
    <mergeCell ref="A129:L129"/>
    <mergeCell ref="M129:O129"/>
    <mergeCell ref="P129:T129"/>
    <mergeCell ref="U129:W129"/>
    <mergeCell ref="X129:AA129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T127:AV127"/>
    <mergeCell ref="AW127:AX127"/>
    <mergeCell ref="AY127:AZ127"/>
    <mergeCell ref="BA127:BC127"/>
    <mergeCell ref="BD127:BE127"/>
    <mergeCell ref="BN127:BP127"/>
    <mergeCell ref="AB127:AD127"/>
    <mergeCell ref="AG127:AI127"/>
    <mergeCell ref="AJ127:AK127"/>
    <mergeCell ref="AL127:AM127"/>
    <mergeCell ref="AN127:AO127"/>
    <mergeCell ref="AP127:AR127"/>
    <mergeCell ref="AW126:AX126"/>
    <mergeCell ref="AY126:AZ126"/>
    <mergeCell ref="BA126:BC126"/>
    <mergeCell ref="BD126:BE126"/>
    <mergeCell ref="BN126:BP126"/>
    <mergeCell ref="A127:L127"/>
    <mergeCell ref="M127:O127"/>
    <mergeCell ref="P127:T127"/>
    <mergeCell ref="U127:W127"/>
    <mergeCell ref="X127:AA127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T125:AV125"/>
    <mergeCell ref="AW125:AX125"/>
    <mergeCell ref="AY125:AZ125"/>
    <mergeCell ref="BA125:BC125"/>
    <mergeCell ref="BD125:BE125"/>
    <mergeCell ref="BN125:BP125"/>
    <mergeCell ref="AB125:AD125"/>
    <mergeCell ref="AG125:AI125"/>
    <mergeCell ref="AJ125:AK125"/>
    <mergeCell ref="AL125:AM125"/>
    <mergeCell ref="AN125:AO125"/>
    <mergeCell ref="AP125:AR125"/>
    <mergeCell ref="AW124:AX124"/>
    <mergeCell ref="AY124:AZ124"/>
    <mergeCell ref="BA124:BC124"/>
    <mergeCell ref="BD124:BE124"/>
    <mergeCell ref="BN124:BP124"/>
    <mergeCell ref="A125:L125"/>
    <mergeCell ref="M125:O125"/>
    <mergeCell ref="P125:T125"/>
    <mergeCell ref="U125:W125"/>
    <mergeCell ref="X125:AA125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T123:AV123"/>
    <mergeCell ref="AW123:AX123"/>
    <mergeCell ref="AY123:AZ123"/>
    <mergeCell ref="BA123:BC123"/>
    <mergeCell ref="BD123:BE123"/>
    <mergeCell ref="BN123:BP123"/>
    <mergeCell ref="AB123:AD123"/>
    <mergeCell ref="AG123:AI123"/>
    <mergeCell ref="AJ123:AK123"/>
    <mergeCell ref="AL123:AM123"/>
    <mergeCell ref="AN123:AO123"/>
    <mergeCell ref="AP123:AR123"/>
    <mergeCell ref="AW122:AX122"/>
    <mergeCell ref="AY122:AZ122"/>
    <mergeCell ref="BA122:BC122"/>
    <mergeCell ref="BD122:BE122"/>
    <mergeCell ref="BN122:BP122"/>
    <mergeCell ref="A123:L123"/>
    <mergeCell ref="M123:O123"/>
    <mergeCell ref="P123:T123"/>
    <mergeCell ref="U123:W123"/>
    <mergeCell ref="X123:AA123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T121:AV121"/>
    <mergeCell ref="AW121:AX121"/>
    <mergeCell ref="AY121:AZ121"/>
    <mergeCell ref="BA121:BC121"/>
    <mergeCell ref="BD121:BE121"/>
    <mergeCell ref="BN121:BP121"/>
    <mergeCell ref="AB121:AD121"/>
    <mergeCell ref="AG121:AI121"/>
    <mergeCell ref="AJ121:AK121"/>
    <mergeCell ref="AL121:AM121"/>
    <mergeCell ref="AN121:AO121"/>
    <mergeCell ref="AP121:AR121"/>
    <mergeCell ref="AW120:AX120"/>
    <mergeCell ref="AY120:AZ120"/>
    <mergeCell ref="BA120:BC120"/>
    <mergeCell ref="BD120:BE120"/>
    <mergeCell ref="BN120:BP120"/>
    <mergeCell ref="A121:L121"/>
    <mergeCell ref="M121:O121"/>
    <mergeCell ref="P121:T121"/>
    <mergeCell ref="U121:W121"/>
    <mergeCell ref="X121:AA121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T119:AV119"/>
    <mergeCell ref="AW119:AX119"/>
    <mergeCell ref="AY119:AZ119"/>
    <mergeCell ref="BA119:BC119"/>
    <mergeCell ref="BD119:BE119"/>
    <mergeCell ref="BN119:BP119"/>
    <mergeCell ref="AB119:AD119"/>
    <mergeCell ref="AG119:AI119"/>
    <mergeCell ref="AJ119:AK119"/>
    <mergeCell ref="AL119:AM119"/>
    <mergeCell ref="AN119:AO119"/>
    <mergeCell ref="AP119:AR119"/>
    <mergeCell ref="AW118:AX118"/>
    <mergeCell ref="AY118:AZ118"/>
    <mergeCell ref="BA118:BC118"/>
    <mergeCell ref="BD118:BE118"/>
    <mergeCell ref="BN118:BP118"/>
    <mergeCell ref="A119:L119"/>
    <mergeCell ref="M119:O119"/>
    <mergeCell ref="P119:T119"/>
    <mergeCell ref="U119:W119"/>
    <mergeCell ref="X119:AA119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T117:AV117"/>
    <mergeCell ref="AW117:AX117"/>
    <mergeCell ref="AY117:AZ117"/>
    <mergeCell ref="BA117:BC117"/>
    <mergeCell ref="BD117:BE117"/>
    <mergeCell ref="BN117:BP117"/>
    <mergeCell ref="AB117:AD117"/>
    <mergeCell ref="AG117:AI117"/>
    <mergeCell ref="AJ117:AK117"/>
    <mergeCell ref="AL117:AM117"/>
    <mergeCell ref="AN117:AO117"/>
    <mergeCell ref="AP117:AR117"/>
    <mergeCell ref="AW116:AX116"/>
    <mergeCell ref="AY116:AZ116"/>
    <mergeCell ref="BA116:BC116"/>
    <mergeCell ref="BD116:BE116"/>
    <mergeCell ref="BN116:BP116"/>
    <mergeCell ref="A117:L117"/>
    <mergeCell ref="M117:O117"/>
    <mergeCell ref="P117:T117"/>
    <mergeCell ref="U117:W117"/>
    <mergeCell ref="X117:AA117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T115:AV115"/>
    <mergeCell ref="AW115:AX115"/>
    <mergeCell ref="AY115:AZ115"/>
    <mergeCell ref="BA115:BC115"/>
    <mergeCell ref="BD115:BE115"/>
    <mergeCell ref="BN115:BP115"/>
    <mergeCell ref="AB115:AD115"/>
    <mergeCell ref="AG115:AI115"/>
    <mergeCell ref="AJ115:AK115"/>
    <mergeCell ref="AL115:AM115"/>
    <mergeCell ref="AN115:AO115"/>
    <mergeCell ref="AP115:AR115"/>
    <mergeCell ref="AW114:AX114"/>
    <mergeCell ref="AY114:AZ114"/>
    <mergeCell ref="BA114:BC114"/>
    <mergeCell ref="BD114:BE114"/>
    <mergeCell ref="BN114:BP114"/>
    <mergeCell ref="A115:L115"/>
    <mergeCell ref="M115:O115"/>
    <mergeCell ref="P115:T115"/>
    <mergeCell ref="U115:W115"/>
    <mergeCell ref="X115:AA115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T113:AV113"/>
    <mergeCell ref="AW113:AX113"/>
    <mergeCell ref="AY113:AZ113"/>
    <mergeCell ref="BA113:BC113"/>
    <mergeCell ref="BD113:BE113"/>
    <mergeCell ref="BN113:BP113"/>
    <mergeCell ref="AB113:AD113"/>
    <mergeCell ref="AG113:AI113"/>
    <mergeCell ref="AJ113:AK113"/>
    <mergeCell ref="AL113:AM113"/>
    <mergeCell ref="AN113:AO113"/>
    <mergeCell ref="AP113:AR113"/>
    <mergeCell ref="AW112:AX112"/>
    <mergeCell ref="AY112:AZ112"/>
    <mergeCell ref="BA112:BC112"/>
    <mergeCell ref="BD112:BE112"/>
    <mergeCell ref="BN112:BP112"/>
    <mergeCell ref="A113:L113"/>
    <mergeCell ref="M113:O113"/>
    <mergeCell ref="P113:T113"/>
    <mergeCell ref="U113:W113"/>
    <mergeCell ref="X113:AA113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T111:AV111"/>
    <mergeCell ref="AW111:AX111"/>
    <mergeCell ref="AY111:AZ111"/>
    <mergeCell ref="BA111:BC111"/>
    <mergeCell ref="BD111:BE111"/>
    <mergeCell ref="BN111:BP111"/>
    <mergeCell ref="AB111:AD111"/>
    <mergeCell ref="AG111:AI111"/>
    <mergeCell ref="AJ111:AK111"/>
    <mergeCell ref="AL111:AM111"/>
    <mergeCell ref="AN111:AO111"/>
    <mergeCell ref="AP111:AR111"/>
    <mergeCell ref="AW110:AX110"/>
    <mergeCell ref="AY110:AZ110"/>
    <mergeCell ref="BA110:BC110"/>
    <mergeCell ref="BD110:BE110"/>
    <mergeCell ref="BN110:BP110"/>
    <mergeCell ref="A111:L111"/>
    <mergeCell ref="M111:O111"/>
    <mergeCell ref="P111:T111"/>
    <mergeCell ref="U111:W111"/>
    <mergeCell ref="X111:AA111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T109:AV109"/>
    <mergeCell ref="AW109:AX109"/>
    <mergeCell ref="AY109:AZ109"/>
    <mergeCell ref="BA109:BC109"/>
    <mergeCell ref="BD109:BE109"/>
    <mergeCell ref="BN109:BP109"/>
    <mergeCell ref="AB109:AD109"/>
    <mergeCell ref="AG109:AI109"/>
    <mergeCell ref="AJ109:AK109"/>
    <mergeCell ref="AL109:AM109"/>
    <mergeCell ref="AN109:AO109"/>
    <mergeCell ref="AP109:AR109"/>
    <mergeCell ref="AW108:AX108"/>
    <mergeCell ref="AY108:AZ108"/>
    <mergeCell ref="BA108:BC108"/>
    <mergeCell ref="BD108:BE108"/>
    <mergeCell ref="BN108:BP108"/>
    <mergeCell ref="A109:L109"/>
    <mergeCell ref="M109:O109"/>
    <mergeCell ref="P109:T109"/>
    <mergeCell ref="U109:W109"/>
    <mergeCell ref="X109:AA109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T107:AV107"/>
    <mergeCell ref="AW107:AX107"/>
    <mergeCell ref="AY107:AZ107"/>
    <mergeCell ref="BA107:BC107"/>
    <mergeCell ref="BD107:BE107"/>
    <mergeCell ref="BN107:BP107"/>
    <mergeCell ref="AB107:AD107"/>
    <mergeCell ref="AG107:AI107"/>
    <mergeCell ref="AJ107:AK107"/>
    <mergeCell ref="AL107:AM107"/>
    <mergeCell ref="AN107:AO107"/>
    <mergeCell ref="AP107:AR107"/>
    <mergeCell ref="AW106:AX106"/>
    <mergeCell ref="AY106:AZ106"/>
    <mergeCell ref="BA106:BC106"/>
    <mergeCell ref="BD106:BE106"/>
    <mergeCell ref="BN106:BP106"/>
    <mergeCell ref="A107:L107"/>
    <mergeCell ref="M107:O107"/>
    <mergeCell ref="P107:T107"/>
    <mergeCell ref="U107:W107"/>
    <mergeCell ref="X107:AA107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T105:AV105"/>
    <mergeCell ref="AW105:AX105"/>
    <mergeCell ref="AY105:AZ105"/>
    <mergeCell ref="BA105:BC105"/>
    <mergeCell ref="BD105:BE105"/>
    <mergeCell ref="BN105:BP105"/>
    <mergeCell ref="AB105:AD105"/>
    <mergeCell ref="AG105:AI105"/>
    <mergeCell ref="AJ105:AK105"/>
    <mergeCell ref="AL105:AM105"/>
    <mergeCell ref="AN105:AO105"/>
    <mergeCell ref="AP105:AR105"/>
    <mergeCell ref="AW104:AX104"/>
    <mergeCell ref="AY104:AZ104"/>
    <mergeCell ref="BA104:BC104"/>
    <mergeCell ref="BD104:BE104"/>
    <mergeCell ref="BN104:BP104"/>
    <mergeCell ref="A105:L105"/>
    <mergeCell ref="M105:O105"/>
    <mergeCell ref="P105:T105"/>
    <mergeCell ref="U105:W105"/>
    <mergeCell ref="X105:AA105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T103:AV103"/>
    <mergeCell ref="AW103:AX103"/>
    <mergeCell ref="AY103:AZ103"/>
    <mergeCell ref="BA103:BC103"/>
    <mergeCell ref="BD103:BE103"/>
    <mergeCell ref="BN103:BP103"/>
    <mergeCell ref="AB103:AD103"/>
    <mergeCell ref="AG103:AI103"/>
    <mergeCell ref="AJ103:AK103"/>
    <mergeCell ref="AL103:AM103"/>
    <mergeCell ref="AN103:AO103"/>
    <mergeCell ref="AP103:AR103"/>
    <mergeCell ref="AW102:AX102"/>
    <mergeCell ref="AY102:AZ102"/>
    <mergeCell ref="BA102:BC102"/>
    <mergeCell ref="BD102:BE102"/>
    <mergeCell ref="BN102:BP102"/>
    <mergeCell ref="A103:L103"/>
    <mergeCell ref="M103:O103"/>
    <mergeCell ref="P103:T103"/>
    <mergeCell ref="U103:W103"/>
    <mergeCell ref="X103:AA103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T101:AV101"/>
    <mergeCell ref="AW101:AX101"/>
    <mergeCell ref="AY101:AZ101"/>
    <mergeCell ref="BA101:BC101"/>
    <mergeCell ref="BD101:BE101"/>
    <mergeCell ref="BN101:BP101"/>
    <mergeCell ref="AB101:AD101"/>
    <mergeCell ref="AG101:AI101"/>
    <mergeCell ref="AJ101:AK101"/>
    <mergeCell ref="AL101:AM101"/>
    <mergeCell ref="AN101:AO101"/>
    <mergeCell ref="AP101:AR101"/>
    <mergeCell ref="AW100:AX100"/>
    <mergeCell ref="AY100:AZ100"/>
    <mergeCell ref="BA100:BC100"/>
    <mergeCell ref="BD100:BE100"/>
    <mergeCell ref="BN100:BP100"/>
    <mergeCell ref="A101:L101"/>
    <mergeCell ref="M101:O101"/>
    <mergeCell ref="P101:T101"/>
    <mergeCell ref="U101:W101"/>
    <mergeCell ref="X101:AA101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T99:AV99"/>
    <mergeCell ref="AW99:AX99"/>
    <mergeCell ref="AY99:AZ99"/>
    <mergeCell ref="BA99:BC99"/>
    <mergeCell ref="BD99:BE99"/>
    <mergeCell ref="BN99:BP99"/>
    <mergeCell ref="AB99:AD99"/>
    <mergeCell ref="AG99:AI99"/>
    <mergeCell ref="AJ99:AK99"/>
    <mergeCell ref="AL99:AM99"/>
    <mergeCell ref="AN99:AO99"/>
    <mergeCell ref="AP99:AR99"/>
    <mergeCell ref="AW98:AX98"/>
    <mergeCell ref="AY98:AZ98"/>
    <mergeCell ref="BA98:BC98"/>
    <mergeCell ref="BD98:BE98"/>
    <mergeCell ref="BN98:BP98"/>
    <mergeCell ref="A99:L99"/>
    <mergeCell ref="M99:O99"/>
    <mergeCell ref="P99:T99"/>
    <mergeCell ref="U99:W99"/>
    <mergeCell ref="X99:AA99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T97:AV97"/>
    <mergeCell ref="AW97:AX97"/>
    <mergeCell ref="AY97:AZ97"/>
    <mergeCell ref="BA97:BC97"/>
    <mergeCell ref="BD97:BE97"/>
    <mergeCell ref="BN97:BP97"/>
    <mergeCell ref="AB97:AD97"/>
    <mergeCell ref="AG97:AI97"/>
    <mergeCell ref="AJ97:AK97"/>
    <mergeCell ref="AL97:AM97"/>
    <mergeCell ref="AN97:AO97"/>
    <mergeCell ref="AP97:AR97"/>
    <mergeCell ref="AW96:AX96"/>
    <mergeCell ref="AY96:AZ96"/>
    <mergeCell ref="BA96:BC96"/>
    <mergeCell ref="BD96:BE96"/>
    <mergeCell ref="BN96:BP96"/>
    <mergeCell ref="A97:L97"/>
    <mergeCell ref="M97:O97"/>
    <mergeCell ref="P97:T97"/>
    <mergeCell ref="U97:W97"/>
    <mergeCell ref="X97:AA97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T95:AV95"/>
    <mergeCell ref="AW95:AX95"/>
    <mergeCell ref="AY95:AZ95"/>
    <mergeCell ref="BA95:BC95"/>
    <mergeCell ref="BD95:BE95"/>
    <mergeCell ref="BN95:BP95"/>
    <mergeCell ref="AB95:AD95"/>
    <mergeCell ref="AG95:AI95"/>
    <mergeCell ref="AJ95:AK95"/>
    <mergeCell ref="AL95:AM95"/>
    <mergeCell ref="AN95:AO95"/>
    <mergeCell ref="AP95:AR95"/>
    <mergeCell ref="AW94:AX94"/>
    <mergeCell ref="AY94:AZ94"/>
    <mergeCell ref="BA94:BC94"/>
    <mergeCell ref="BD94:BE94"/>
    <mergeCell ref="BN94:BP94"/>
    <mergeCell ref="A95:L95"/>
    <mergeCell ref="M95:O95"/>
    <mergeCell ref="P95:T95"/>
    <mergeCell ref="U95:W95"/>
    <mergeCell ref="X95:AA95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T93:AV93"/>
    <mergeCell ref="AW93:AX93"/>
    <mergeCell ref="AY93:AZ93"/>
    <mergeCell ref="BA93:BC93"/>
    <mergeCell ref="BD93:BE93"/>
    <mergeCell ref="BN93:BP93"/>
    <mergeCell ref="AB93:AD93"/>
    <mergeCell ref="AG93:AI93"/>
    <mergeCell ref="AJ93:AK93"/>
    <mergeCell ref="AL93:AM93"/>
    <mergeCell ref="AN93:AO93"/>
    <mergeCell ref="AP93:AR93"/>
    <mergeCell ref="AW92:AX92"/>
    <mergeCell ref="AY92:AZ92"/>
    <mergeCell ref="BA92:BC92"/>
    <mergeCell ref="BD92:BE92"/>
    <mergeCell ref="BN92:BP92"/>
    <mergeCell ref="A93:L93"/>
    <mergeCell ref="M93:O93"/>
    <mergeCell ref="P93:T93"/>
    <mergeCell ref="U93:W93"/>
    <mergeCell ref="X93:AA93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0:BQ90"/>
    <mergeCell ref="AY91:AZ91"/>
    <mergeCell ref="BA91:BC91"/>
    <mergeCell ref="BD91:BE91"/>
    <mergeCell ref="BN91:BP91"/>
    <mergeCell ref="AG91:AI91"/>
    <mergeCell ref="AJ91:AK91"/>
    <mergeCell ref="AL91:AM91"/>
    <mergeCell ref="AN91:AO91"/>
    <mergeCell ref="AP91:AR91"/>
    <mergeCell ref="AT91:AV91"/>
    <mergeCell ref="A88:L88"/>
    <mergeCell ref="M88:BQ88"/>
    <mergeCell ref="A89:BQ89"/>
    <mergeCell ref="A90:L91"/>
    <mergeCell ref="M90:O91"/>
    <mergeCell ref="P90:T91"/>
    <mergeCell ref="U90:AX90"/>
    <mergeCell ref="U91:W91"/>
    <mergeCell ref="X91:AA91"/>
    <mergeCell ref="AB91:AD91"/>
    <mergeCell ref="AT87:AV87"/>
    <mergeCell ref="AW87:AX87"/>
    <mergeCell ref="AY87:AZ87"/>
    <mergeCell ref="BA87:BC87"/>
    <mergeCell ref="BD87:BE87"/>
    <mergeCell ref="BN87:BP87"/>
    <mergeCell ref="AB87:AD87"/>
    <mergeCell ref="AG87:AI87"/>
    <mergeCell ref="AJ87:AK87"/>
    <mergeCell ref="AL87:AM87"/>
    <mergeCell ref="AN87:AO87"/>
    <mergeCell ref="AP87:AR87"/>
    <mergeCell ref="AW86:AX86"/>
    <mergeCell ref="AY86:AZ86"/>
    <mergeCell ref="BA86:BC86"/>
    <mergeCell ref="BD86:BE86"/>
    <mergeCell ref="BN86:BP86"/>
    <mergeCell ref="A87:L87"/>
    <mergeCell ref="M87:O87"/>
    <mergeCell ref="P87:T87"/>
    <mergeCell ref="U87:W87"/>
    <mergeCell ref="X87:AA87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T85:AV85"/>
    <mergeCell ref="AW85:AX85"/>
    <mergeCell ref="AY85:AZ85"/>
    <mergeCell ref="BA85:BC85"/>
    <mergeCell ref="BD85:BE85"/>
    <mergeCell ref="BN85:BP85"/>
    <mergeCell ref="AB85:AD85"/>
    <mergeCell ref="AG85:AI85"/>
    <mergeCell ref="AJ85:AK85"/>
    <mergeCell ref="AL85:AM85"/>
    <mergeCell ref="AN85:AO85"/>
    <mergeCell ref="AP85:AR85"/>
    <mergeCell ref="AW84:AX84"/>
    <mergeCell ref="AY84:AZ84"/>
    <mergeCell ref="BA84:BC84"/>
    <mergeCell ref="BD84:BE84"/>
    <mergeCell ref="BN84:BP84"/>
    <mergeCell ref="A85:L85"/>
    <mergeCell ref="M85:O85"/>
    <mergeCell ref="P85:T85"/>
    <mergeCell ref="U85:W85"/>
    <mergeCell ref="X85:AA85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T83:AV83"/>
    <mergeCell ref="AW83:AX83"/>
    <mergeCell ref="AY83:AZ83"/>
    <mergeCell ref="BA83:BC83"/>
    <mergeCell ref="BD83:BE83"/>
    <mergeCell ref="BN83:BP83"/>
    <mergeCell ref="AB83:AD83"/>
    <mergeCell ref="AG83:AI83"/>
    <mergeCell ref="AJ83:AK83"/>
    <mergeCell ref="AL83:AM83"/>
    <mergeCell ref="AN83:AO83"/>
    <mergeCell ref="AP83:AR83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T81:AV81"/>
    <mergeCell ref="AW81:AX81"/>
    <mergeCell ref="AY81:AZ81"/>
    <mergeCell ref="BA81:BC81"/>
    <mergeCell ref="BD81:BE81"/>
    <mergeCell ref="BN81:BP81"/>
    <mergeCell ref="AB81:AD81"/>
    <mergeCell ref="AG81:AI81"/>
    <mergeCell ref="AJ81:AK81"/>
    <mergeCell ref="AL81:AM81"/>
    <mergeCell ref="AN81:AO81"/>
    <mergeCell ref="AP81:AR81"/>
    <mergeCell ref="AW80:AX80"/>
    <mergeCell ref="AY80:AZ80"/>
    <mergeCell ref="BA80:BC80"/>
    <mergeCell ref="BD80:BE80"/>
    <mergeCell ref="BN80:BP80"/>
    <mergeCell ref="A81:L81"/>
    <mergeCell ref="M81:O81"/>
    <mergeCell ref="P81:T81"/>
    <mergeCell ref="U81:W81"/>
    <mergeCell ref="X81:AA81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T79:AV79"/>
    <mergeCell ref="AW79:AX79"/>
    <mergeCell ref="AY79:AZ79"/>
    <mergeCell ref="BA79:BC79"/>
    <mergeCell ref="BD79:BE79"/>
    <mergeCell ref="BN79:BP79"/>
    <mergeCell ref="AB79:AD79"/>
    <mergeCell ref="AG79:AI79"/>
    <mergeCell ref="AJ79:AK79"/>
    <mergeCell ref="AL79:AM79"/>
    <mergeCell ref="AN79:AO79"/>
    <mergeCell ref="AP79:AR79"/>
    <mergeCell ref="AW78:AX78"/>
    <mergeCell ref="AY78:AZ78"/>
    <mergeCell ref="BA78:BC78"/>
    <mergeCell ref="BD78:BE78"/>
    <mergeCell ref="BN78:BP78"/>
    <mergeCell ref="A79:L79"/>
    <mergeCell ref="M79:O79"/>
    <mergeCell ref="P79:T79"/>
    <mergeCell ref="U79:W79"/>
    <mergeCell ref="X79:AA79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8" max="255" man="1"/>
    <brk id="247" max="255" man="1"/>
    <brk id="247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2022-02-24T06:41:23Z</dcterms:created>
  <dcterms:modified xsi:type="dcterms:W3CDTF">2022-02-24T06:41:23Z</dcterms:modified>
  <cp:category/>
  <cp:version/>
  <cp:contentType/>
  <cp:contentStatus/>
</cp:coreProperties>
</file>